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860" yWindow="65341" windowWidth="7245" windowHeight="8070" activeTab="0"/>
  </bookViews>
  <sheets>
    <sheet name="GASTOS" sheetId="1" r:id="rId1"/>
    <sheet name="Presupuesto general" sheetId="2" state="hidden" r:id="rId2"/>
    <sheet name="2004VS2005" sheetId="3" state="hidden" r:id="rId3"/>
    <sheet name="Inversión total en programas" sheetId="4" state="hidden" r:id="rId4"/>
    <sheet name="MODELO CONTRATISTAS" sheetId="5" state="hidden" r:id="rId5"/>
    <sheet name="Servicios personal 2005" sheetId="6" state="hidden" r:id="rId6"/>
    <sheet name="Nómina 2004" sheetId="7" state="hidden" r:id="rId7"/>
  </sheets>
  <externalReferences>
    <externalReference r:id="rId10"/>
    <externalReference r:id="rId11"/>
  </externalReferences>
  <definedNames>
    <definedName name="_xlnm._FilterDatabase" hidden="1">'MODELO CONTRATISTAS'!$A$4:$J$40</definedName>
    <definedName name="_xlnm.Print_Area" localSheetId="0">'GASTOS'!$A$1:$N$194</definedName>
    <definedName name="_xlnm.Print_Area" localSheetId="3">'Inversión total en programas'!$A$6:$D$106</definedName>
    <definedName name="_xlnm.Print_Area" localSheetId="1">'Presupuesto general'!$A$1:$F$63</definedName>
    <definedName name="ASISCALLCENTER">#REF!</definedName>
    <definedName name="ASISCONTABPPC">#REF!</definedName>
    <definedName name="ASISDESPACHOS">#REF!</definedName>
    <definedName name="ASISICA">#REF!</definedName>
    <definedName name="AUXBODEGA">#REF!</definedName>
    <definedName name="CABEZAS_PROYEC">#REF!</definedName>
    <definedName name="CUOTAPPC2005">#REF!</definedName>
    <definedName name="DIAG_PPC">'Inversión total en programas'!$B$86</definedName>
    <definedName name="eeeee">#REF!</definedName>
    <definedName name="EPPC">#REF!</definedName>
    <definedName name="FOMENTO">#REF!</definedName>
    <definedName name="FOMENTOS">'[1]Anexo 1 Minagricultura'!$C$51</definedName>
    <definedName name="fondo">#REF!</definedName>
    <definedName name="GTOSEPPC">'Inversión total en programas'!$C$35</definedName>
    <definedName name="HONORAUDI_JURIDIC">#REF!</definedName>
    <definedName name="HONTOTAL">#REF!</definedName>
    <definedName name="ojo">#REF!</definedName>
    <definedName name="RESERV_FUTU">#REF!</definedName>
    <definedName name="saldo">#REF!</definedName>
    <definedName name="saldos">#REF!</definedName>
    <definedName name="SUPERA2004">#REF!</definedName>
    <definedName name="SUPERA2005">#REF!</definedName>
    <definedName name="SUPERAVIT">#REF!</definedName>
    <definedName name="SUPERAVIT2005_FNP">#REF!</definedName>
    <definedName name="SUPERAVITPPC_2005">#REF!</definedName>
    <definedName name="_xlnm.Print_Titles" localSheetId="0">'GASTOS'!$1:$6</definedName>
    <definedName name="_xlnm.Print_Titles" localSheetId="3">'Inversión total en programas'!$1:$5</definedName>
    <definedName name="VTAS2005">#REF!</definedName>
    <definedName name="xx">'[2]Ingresos'!$C$19</definedName>
    <definedName name="Z_4099E833_BB74_4680_85C9_A6CF399D1CE2_.wvu.Cols" hidden="1">'Nómina 2004'!$C:$E,'Nómina 2004'!$H:$I,'Nómina 2004'!$L:$P,'Nómina 2004'!$AF:$AH</definedName>
    <definedName name="Z_4099E833_BB74_4680_85C9_A6CF399D1CE2_.wvu.FilterData" hidden="1">'MODELO CONTRATISTAS'!$A$4:$J$40</definedName>
    <definedName name="Z_4099E833_BB74_4680_85C9_A6CF399D1CE2_.wvu.PrintArea" localSheetId="3" hidden="1">'Inversión total en programas'!$A$6:$D$106</definedName>
    <definedName name="Z_4099E833_BB74_4680_85C9_A6CF399D1CE2_.wvu.PrintArea" localSheetId="1" hidden="1">'Presupuesto general'!$A$1:$F$63</definedName>
    <definedName name="Z_4099E833_BB74_4680_85C9_A6CF399D1CE2_.wvu.PrintTitles" hidden="1">'Inversión total en programas'!$1:$5</definedName>
    <definedName name="Z_4099E833_BB74_4680_85C9_A6CF399D1CE2_.wvu.Rows" hidden="1">'Inversión total en programas'!$50:$50,'Inversión total en programas'!$60:$63</definedName>
  </definedNames>
  <calcPr fullCalcOnLoad="1"/>
</workbook>
</file>

<file path=xl/comments4.xml><?xml version="1.0" encoding="utf-8"?>
<comments xmlns="http://schemas.openxmlformats.org/spreadsheetml/2006/main">
  <authors>
    <author>Fondo Nacional de la Porcicultura</author>
  </authors>
  <commentList>
    <comment ref="B7" authorId="0">
      <text>
        <r>
          <rPr>
            <sz val="8"/>
            <rFont val="Tahoma"/>
            <family val="2"/>
          </rPr>
          <t xml:space="preserve">SUMA DE FUNCIONARIOS + HONORARIOS </t>
        </r>
        <r>
          <rPr>
            <sz val="8"/>
            <rFont val="Tahoma"/>
            <family val="2"/>
          </rPr>
          <t>DE ASESORIA JURIDICA AUDITOR INTERNO</t>
        </r>
      </text>
    </comment>
  </commentList>
</comments>
</file>

<file path=xl/sharedStrings.xml><?xml version="1.0" encoding="utf-8"?>
<sst xmlns="http://schemas.openxmlformats.org/spreadsheetml/2006/main" count="593" uniqueCount="379">
  <si>
    <t>Gestión de transferencia de tecnología</t>
  </si>
  <si>
    <t>Prima legal</t>
  </si>
  <si>
    <t>Vacaciones</t>
  </si>
  <si>
    <t>Seguros y/o fondos privados</t>
  </si>
  <si>
    <t>Aportes ICBF y SENA</t>
  </si>
  <si>
    <t>Cesantías</t>
  </si>
  <si>
    <t>Intereses de cesantías</t>
  </si>
  <si>
    <t>Caja de compensación</t>
  </si>
  <si>
    <t>Administración del programa</t>
  </si>
  <si>
    <t>FORMALIDAD E INTEGRACIÓN</t>
  </si>
  <si>
    <t>Fortalecimiento institucional</t>
  </si>
  <si>
    <t>COMERCIALIZACIÓN</t>
  </si>
  <si>
    <t>PRODUCTIVIDAD DE EMPRESA</t>
  </si>
  <si>
    <t>Eficiencia sanitaria</t>
  </si>
  <si>
    <t>Servicios de diagnóstico</t>
  </si>
  <si>
    <t>Capacitación y divulgación</t>
  </si>
  <si>
    <t>GASTOS DE FUNCIONAMIENTO</t>
  </si>
  <si>
    <t>TOTAL PROGRAMAS Y PROYECTOS</t>
  </si>
  <si>
    <t>MINISTERIO DE AGRICULTURA  Y DESARROLLO RURAL</t>
  </si>
  <si>
    <t>SERVICIOS PERSONALES</t>
  </si>
  <si>
    <t>Honorarios</t>
  </si>
  <si>
    <t>GASTOS GENERALES</t>
  </si>
  <si>
    <t xml:space="preserve">Mantenimiento </t>
  </si>
  <si>
    <t>Arriendos</t>
  </si>
  <si>
    <t>Correo</t>
  </si>
  <si>
    <t>TOTAL PRESUPUESTO</t>
  </si>
  <si>
    <t>GRUPOS ASOCIATIVOS</t>
  </si>
  <si>
    <t>SANIDAD</t>
  </si>
  <si>
    <t>SUBTOTAL</t>
  </si>
  <si>
    <t>CUENTAS</t>
  </si>
  <si>
    <t>*</t>
  </si>
  <si>
    <t>ESTUDIOS Y PROYECTOS</t>
  </si>
  <si>
    <t>AGENDA INTERNA Y COMPETITIVIDAD</t>
  </si>
  <si>
    <t>PROMOCION AL CONSUMO</t>
  </si>
  <si>
    <t>Agroexpo</t>
  </si>
  <si>
    <t>GESTION AMBIENTAL Y DE CALIDAD</t>
  </si>
  <si>
    <t>DIVULGACION Y GESTION</t>
  </si>
  <si>
    <t>SISTEMAS DE INFORMACION</t>
  </si>
  <si>
    <t>TOTAL PRESUPUESTO 2005</t>
  </si>
  <si>
    <t>% PART.</t>
  </si>
  <si>
    <t>Transportes, fletes y acarreos</t>
  </si>
  <si>
    <t>Muebles, equipos de oficina y software</t>
  </si>
  <si>
    <t>Aseo, vigilancia y cafetería</t>
  </si>
  <si>
    <t>Materiales y suministros</t>
  </si>
  <si>
    <t>Servicios públicos</t>
  </si>
  <si>
    <t>Viáticos y gastos de viaje</t>
  </si>
  <si>
    <t>Seguros, impuestos y gastos legales</t>
  </si>
  <si>
    <t>Gastos comisión de fomento</t>
  </si>
  <si>
    <t>Comisiones y gastos bancarios</t>
  </si>
  <si>
    <t>Cuota auditaje CGR</t>
  </si>
  <si>
    <t>CONTROL A LA EVASIÓN</t>
  </si>
  <si>
    <t>DIRECCIÓN DE PLANEACIÓN Y SEGUIMIENTO PRESUPUESTAL</t>
  </si>
  <si>
    <t>PRESUPUESTO DE GASTOS DE FUNCIONAMIENTO E INVERSIÓN  2005</t>
  </si>
  <si>
    <t>INCRE.</t>
  </si>
  <si>
    <t>ERRADICACIÓN PPC</t>
  </si>
  <si>
    <t>MINISTERIO DE AGRICULTURA Y DESARROLLO RURAL</t>
  </si>
  <si>
    <t xml:space="preserve">TOTAL </t>
  </si>
  <si>
    <t>Capacitación</t>
  </si>
  <si>
    <t>CONTROL A LA EVASION</t>
  </si>
  <si>
    <t>Enfermedades entéricas y respiratorias</t>
  </si>
  <si>
    <t>Enfermedades exóticas de los porcinos</t>
  </si>
  <si>
    <t>PRESUPUESTO 2005</t>
  </si>
  <si>
    <t>Honorarios funcionamiento</t>
  </si>
  <si>
    <t>Inversión directa en el programa</t>
  </si>
  <si>
    <t>Honorarios director nacional</t>
  </si>
  <si>
    <t>Auxilio coordinadores</t>
  </si>
  <si>
    <t>Honorarios inspectores</t>
  </si>
  <si>
    <t>Subtotal gastos de personal</t>
  </si>
  <si>
    <t>Honorarios coordinadores regionales (16)</t>
  </si>
  <si>
    <t>Bacterióloga (1)</t>
  </si>
  <si>
    <t>Honorarios asistente contabilidad</t>
  </si>
  <si>
    <t>Honararios auxiliar bodega</t>
  </si>
  <si>
    <t>Honorarios asistente de despachos</t>
  </si>
  <si>
    <t>Competitividad y negociaciones</t>
  </si>
  <si>
    <t>Plan de desarrollo sector porcícola</t>
  </si>
  <si>
    <t>Cadena avícola porcícola</t>
  </si>
  <si>
    <t>FONDO NACIONAL DE LA PORCICULTURA</t>
  </si>
  <si>
    <t>PRESUPUESTO DE GASTOS DE PERSONAL INVERSIÓN Y FUNCIONAMIENTO</t>
  </si>
  <si>
    <t>NOMINA F.N.P.</t>
  </si>
  <si>
    <t xml:space="preserve">FECHA </t>
  </si>
  <si>
    <t>SUELDO</t>
  </si>
  <si>
    <t>DIAS</t>
  </si>
  <si>
    <t>SIN AUMENTO</t>
  </si>
  <si>
    <t xml:space="preserve">SUELDO </t>
  </si>
  <si>
    <t>VAC</t>
  </si>
  <si>
    <t>DIAS REALES</t>
  </si>
  <si>
    <t>CON AUMENTO</t>
  </si>
  <si>
    <t>TOTAL SUELDO</t>
  </si>
  <si>
    <t>SUELDO MENOS</t>
  </si>
  <si>
    <t>VACAC.</t>
  </si>
  <si>
    <t>PRIMA</t>
  </si>
  <si>
    <t>AUXILIO DE</t>
  </si>
  <si>
    <t>DOTACION</t>
  </si>
  <si>
    <t>TOTAL AÑO</t>
  </si>
  <si>
    <t>TOTAL MES</t>
  </si>
  <si>
    <t>INCREM.</t>
  </si>
  <si>
    <t>INGRESO</t>
  </si>
  <si>
    <t>DIA</t>
  </si>
  <si>
    <t>TOTAL</t>
  </si>
  <si>
    <t>MES</t>
  </si>
  <si>
    <t>AÑO</t>
  </si>
  <si>
    <t>VACACIONES</t>
  </si>
  <si>
    <t>TRANSPORTE</t>
  </si>
  <si>
    <t>CESANTIAS</t>
  </si>
  <si>
    <t>INTERES</t>
  </si>
  <si>
    <t>ICBF</t>
  </si>
  <si>
    <t>SENA</t>
  </si>
  <si>
    <t>CAJA COMP</t>
  </si>
  <si>
    <t>EPS,SALUD</t>
  </si>
  <si>
    <t>DIRECTORA DE AREA</t>
  </si>
  <si>
    <t>CONTROL PREVIO</t>
  </si>
  <si>
    <t>TESORERIA</t>
  </si>
  <si>
    <t>JEFE DE RECAUDO</t>
  </si>
  <si>
    <t>AUXILIAR DE  RECAUDO 1</t>
  </si>
  <si>
    <t xml:space="preserve"> </t>
  </si>
  <si>
    <t>AUXILIAR DE RECAUDO 2</t>
  </si>
  <si>
    <t>AUXILIAR CONTABLE PPC</t>
  </si>
  <si>
    <t>SERVICIOS GENERALES</t>
  </si>
  <si>
    <t>HONORARIOS</t>
  </si>
  <si>
    <t>CANT.</t>
  </si>
  <si>
    <t xml:space="preserve">COMP. </t>
  </si>
  <si>
    <t>IVA</t>
  </si>
  <si>
    <t>DIRECTORES NACIONALES</t>
  </si>
  <si>
    <t>ERRADICACION PPC</t>
  </si>
  <si>
    <t>COORDINADORES NACIONALES</t>
  </si>
  <si>
    <t>CAPACITACION Y TRANSFERENCIA DE TECNOLOGIA</t>
  </si>
  <si>
    <t>ASISTENCIA TECNICA GRUPOS ASOCIATIVOS</t>
  </si>
  <si>
    <t>COORDINADORES REGIONALES/ BACTERIOLOGAS/INSPECTORES</t>
  </si>
  <si>
    <t>COORDINADORES REGIONALES PPC</t>
  </si>
  <si>
    <t>INSPECTORES</t>
  </si>
  <si>
    <t>BACTERIOLOGAS / MICROBIOLOGAS</t>
  </si>
  <si>
    <t>ADMINISTRATIVO</t>
  </si>
  <si>
    <t>ASISTENTE CONTABILIDAD PPC</t>
  </si>
  <si>
    <t>ASISTENTE DE RECAUDO</t>
  </si>
  <si>
    <t>DIGITADOR - CODIFICADOR</t>
  </si>
  <si>
    <t>ASISTENTE DE DESPACHOS</t>
  </si>
  <si>
    <t>ASISTENTE ADMON PROYECTO ICA</t>
  </si>
  <si>
    <t>AUXILIAR DE BODEGA</t>
  </si>
  <si>
    <t>TOTAL SERVICIOS</t>
  </si>
  <si>
    <t>FONDO NACIONAL DE LA PORCICULTURA GASTOS DE HONORARIOS AÑO 2005</t>
  </si>
  <si>
    <t>COSTO</t>
  </si>
  <si>
    <t>COMP.</t>
  </si>
  <si>
    <t>ADMON 4% MES</t>
  </si>
  <si>
    <t>COORDINADORES REGIONALES CONTROL EVASION</t>
  </si>
  <si>
    <t xml:space="preserve">ASISTENTE CONTROL PRESUPUESTAL </t>
  </si>
  <si>
    <t>ASISTENTE  ADMINISTRATIVO</t>
  </si>
  <si>
    <t>1. AREA ECONOMICA</t>
  </si>
  <si>
    <t>FNP</t>
  </si>
  <si>
    <t xml:space="preserve">     Publicidad</t>
  </si>
  <si>
    <t xml:space="preserve">     Compra de materiales y dotaciones</t>
  </si>
  <si>
    <t xml:space="preserve">     Pago de auxilios de frío, flete y movilizaciones</t>
  </si>
  <si>
    <t>Vigilancia epidemiológica - Carta de entendimiento 1</t>
  </si>
  <si>
    <t>Regionalización</t>
  </si>
  <si>
    <t>Administración de la base de datos</t>
  </si>
  <si>
    <t>Sistemas de información de mercados</t>
  </si>
  <si>
    <t xml:space="preserve">   Divulgación</t>
  </si>
  <si>
    <t xml:space="preserve">   Capacitación</t>
  </si>
  <si>
    <t>Fortalecimiento al recaudo</t>
  </si>
  <si>
    <t>RESERVA</t>
  </si>
  <si>
    <t>Diagnóstico rutinario</t>
  </si>
  <si>
    <t>TOTAL AREA ECONOMICA</t>
  </si>
  <si>
    <t>3. AREA DE MERCADEO</t>
  </si>
  <si>
    <t>TOTAL AREA DE MERCADEO</t>
  </si>
  <si>
    <t>4. AUDITORIA Y FINANZAS</t>
  </si>
  <si>
    <t>TOTAL AREA AUDIT Y FINANZAS</t>
  </si>
  <si>
    <t>EJECUTADO</t>
  </si>
  <si>
    <t>PRESUPUESTO</t>
  </si>
  <si>
    <t>DIFERENCIA</t>
  </si>
  <si>
    <t>Semana nacional de la carne de cerdo</t>
  </si>
  <si>
    <t>SUPERAVIT 2004</t>
  </si>
  <si>
    <t>PRESUPUESTO DE GASTOS DE FUNCIONAMIENTO E INVERSIÓN 2005</t>
  </si>
  <si>
    <t>CUOTA DE ADMINISTRACIÓN</t>
  </si>
  <si>
    <t>%</t>
  </si>
  <si>
    <t>INGRESOS FINANCIEROS</t>
  </si>
  <si>
    <t>TOTAL INGRESOS</t>
  </si>
  <si>
    <t>Sector salud</t>
  </si>
  <si>
    <t>Honorarios asistencia técnica</t>
  </si>
  <si>
    <t>Honorarios capacitación y transferencia</t>
  </si>
  <si>
    <t>GESTIÓN AMBIENTAL Y DE CALIDAD</t>
  </si>
  <si>
    <t>Investigación</t>
  </si>
  <si>
    <t>Honorarios coordinación nacional</t>
  </si>
  <si>
    <t>Gestión ambiental</t>
  </si>
  <si>
    <t>Gestión de calidad</t>
  </si>
  <si>
    <t>Monitoreo serológico y diagnóstico rutinario</t>
  </si>
  <si>
    <t>Diagnóstico PPC</t>
  </si>
  <si>
    <t>Honorarios bacteriólogas (2)</t>
  </si>
  <si>
    <t>Honorarios sanidad</t>
  </si>
  <si>
    <t>Honorarios coordinador nacional</t>
  </si>
  <si>
    <t>SISTEMAS DE INFORMACIÓN</t>
  </si>
  <si>
    <t xml:space="preserve">Certificación de granjas de pie de cría y centros de I.A. </t>
  </si>
  <si>
    <t>Asistente Call Center</t>
  </si>
  <si>
    <t>Modernización infraestructura</t>
  </si>
  <si>
    <t>Plan de desarrollo del sector porcícola</t>
  </si>
  <si>
    <t>Gestion de calidad</t>
  </si>
  <si>
    <t>Muebles,  equipos  de oficina y software</t>
  </si>
  <si>
    <t>Impresos y publicaciones</t>
  </si>
  <si>
    <t>Bonificacion para trabajo de control a la evasion</t>
  </si>
  <si>
    <t>Auxilio de movilizacion inspectores</t>
  </si>
  <si>
    <t>ASISTENTE CÁLL CENTER</t>
  </si>
  <si>
    <t>UND.</t>
  </si>
  <si>
    <t>Subtotal</t>
  </si>
  <si>
    <t>FUNCIONAMIENTO</t>
  </si>
  <si>
    <t>PART.</t>
  </si>
  <si>
    <t>SUBTOTAL GASTOS</t>
  </si>
  <si>
    <t>SERVICIO DE LA DEUDA</t>
  </si>
  <si>
    <t>SUBTOTAL PRESUPUESTO</t>
  </si>
  <si>
    <t xml:space="preserve">TOTAL PRESUPUESTO </t>
  </si>
  <si>
    <t>GASTOS</t>
  </si>
  <si>
    <t>ESTUDIOS Y</t>
  </si>
  <si>
    <t>PROYECTOS</t>
  </si>
  <si>
    <t>Viaticos y gastos de viaje</t>
  </si>
  <si>
    <t>Cuota de auditaje CGR</t>
  </si>
  <si>
    <t>Honorarios Inspectores</t>
  </si>
  <si>
    <t>Honorarios auxiliar de bodega</t>
  </si>
  <si>
    <t>Certificacion de granjas y pie de cria y centros de I.A.</t>
  </si>
  <si>
    <t>Honorarios asistente administrativa proyecto ICA</t>
  </si>
  <si>
    <t>Honorarios coordinador nacional sanidad</t>
  </si>
  <si>
    <t>Erradicación Peste Porcina Clásica</t>
  </si>
  <si>
    <t>RETEICA</t>
  </si>
  <si>
    <t>MODELO CONTRATISTAS</t>
  </si>
  <si>
    <t>APORTES</t>
  </si>
  <si>
    <t>RECIBIDO</t>
  </si>
  <si>
    <t>*A LA COORDINADORA REGIONAL DE CUNDINAMARCA SE LE DEBE DESCONTAR EL RETEICA POR VALOR DE $17,388</t>
  </si>
  <si>
    <t>INVERSIÓN</t>
  </si>
  <si>
    <t xml:space="preserve">Capacitación </t>
  </si>
  <si>
    <t>CUOTA DE  ADMINISTRACIÓN</t>
  </si>
  <si>
    <t>Cuota de fomento</t>
  </si>
  <si>
    <t>Honorarios asistente proyecto ICA</t>
  </si>
  <si>
    <t xml:space="preserve">* CALCULO DE </t>
  </si>
  <si>
    <t>CUOTA FOMENTO</t>
  </si>
  <si>
    <t>EPPC</t>
  </si>
  <si>
    <t>CUOTA EPPC</t>
  </si>
  <si>
    <t>VENTAS EPPC</t>
  </si>
  <si>
    <t>SUPERAVIT 2005</t>
  </si>
  <si>
    <t>MENOS</t>
  </si>
  <si>
    <t>GTOS EPPC 2005</t>
  </si>
  <si>
    <t>GTOS DIAGNOSTICO PPC</t>
  </si>
  <si>
    <t>TOTAL SUPERAVIT 2005</t>
  </si>
  <si>
    <t>GTOS PROGRAMAS 2005</t>
  </si>
  <si>
    <t>RESERVA FUTURAS INVERSIONES Y GASTOS *</t>
  </si>
  <si>
    <t xml:space="preserve">RESERVA FUTURAS INVERSIONES Y GASTOS </t>
  </si>
  <si>
    <t>EJECUTADO
2004</t>
  </si>
  <si>
    <t>PRESUPUESTO
2005</t>
  </si>
  <si>
    <t>DIVULGACIÓN Y SOCIALIZACIÓN</t>
  </si>
  <si>
    <t>RET FTE</t>
  </si>
  <si>
    <t>INGRESOS PRESUPUESTADOS</t>
  </si>
  <si>
    <t>Comunicaciones</t>
  </si>
  <si>
    <t>Conceptualización gráfica</t>
  </si>
  <si>
    <t>COMPARATIVO</t>
  </si>
  <si>
    <t>PRESUPUESTO AÑO 2004 VS 2005</t>
  </si>
  <si>
    <t>(1) Bacteriologa</t>
  </si>
  <si>
    <t>Servicios de personal</t>
  </si>
  <si>
    <t>PPC</t>
  </si>
  <si>
    <t>SUBTOTAL GASTOS PERSONAL</t>
  </si>
  <si>
    <t>SUBTOTAL GASTOS GENERALES</t>
  </si>
  <si>
    <t>TOTAL FUNCIONAMIENTO</t>
  </si>
  <si>
    <t>INGRESOS</t>
  </si>
  <si>
    <t>PROGRAMAS ECONÓMICA</t>
  </si>
  <si>
    <t>PROGRAMAS TÉCNICA</t>
  </si>
  <si>
    <t>PROGRAMAS MERCADEO</t>
  </si>
  <si>
    <t>TOTAL INVERSIÓN</t>
  </si>
  <si>
    <t>% PARTICI-PACIÓN</t>
  </si>
  <si>
    <t>GASTOS DE PERSONAL</t>
  </si>
  <si>
    <t xml:space="preserve">Dotación y suministro </t>
  </si>
  <si>
    <t>PROGRAMA PPC</t>
  </si>
  <si>
    <t>Sueldos</t>
  </si>
  <si>
    <t>Mesas de trabajo</t>
  </si>
  <si>
    <t>Aislamiento y caracterización del virus de la PPC</t>
  </si>
  <si>
    <t>Detección de anticuerpos contra el virus de la PPC</t>
  </si>
  <si>
    <t>Certificación de granjas genéticas núcleo</t>
  </si>
  <si>
    <t xml:space="preserve">Monitoreo información de precios </t>
  </si>
  <si>
    <t>Gastos de viaje</t>
  </si>
  <si>
    <t xml:space="preserve">     Talleres de formación PPC</t>
  </si>
  <si>
    <t xml:space="preserve">     Asesoría internacional</t>
  </si>
  <si>
    <t>Construcción de documentos</t>
  </si>
  <si>
    <t>Ciclos de vacunación</t>
  </si>
  <si>
    <t xml:space="preserve">   Contrapartida FNP</t>
  </si>
  <si>
    <t xml:space="preserve">   Contrapartida SENA</t>
  </si>
  <si>
    <t>Gestión Ambiental</t>
  </si>
  <si>
    <t>Centro de servicios técnicos y financieros</t>
  </si>
  <si>
    <t>COMSAC</t>
  </si>
  <si>
    <t>Participación en negociaciones</t>
  </si>
  <si>
    <t>Eventos investigativos</t>
  </si>
  <si>
    <t xml:space="preserve">  Home panel</t>
  </si>
  <si>
    <t xml:space="preserve">  Brand tracking - Brand equity</t>
  </si>
  <si>
    <t xml:space="preserve">  Pre-test y post-test de campañas</t>
  </si>
  <si>
    <t xml:space="preserve">  Focus group para validación de conceptos, productos y empaques</t>
  </si>
  <si>
    <t>Calidad e inocuidad de la cadena cárnica</t>
  </si>
  <si>
    <t>Herramientas del Centro de servicios</t>
  </si>
  <si>
    <t>Asesorías a pequeños productores</t>
  </si>
  <si>
    <t>Asesorías a medianos y grandes productores y grupos</t>
  </si>
  <si>
    <t>Actualización de información</t>
  </si>
  <si>
    <t>Auxilios de movilización de los coordinadores de recaudo</t>
  </si>
  <si>
    <t>Auxilios de comités de ganaderos y distribuidores</t>
  </si>
  <si>
    <t>Recolección de desechos biológicos</t>
  </si>
  <si>
    <t>Cuota de fomento porcícola</t>
  </si>
  <si>
    <t>Cuota de erradicación Peste Porcina Clásica</t>
  </si>
  <si>
    <t xml:space="preserve">   Proyectos aprobados 2007</t>
  </si>
  <si>
    <t xml:space="preserve">   Proyectos aprobados 2008</t>
  </si>
  <si>
    <t xml:space="preserve">   Red nacional de investigación</t>
  </si>
  <si>
    <t xml:space="preserve">     Brigadas</t>
  </si>
  <si>
    <t xml:space="preserve">     Compra de biológico, chapetas y tenazas</t>
  </si>
  <si>
    <t xml:space="preserve">TOTAL GASTOS </t>
  </si>
  <si>
    <t>PRESUPUESTO DE GASTOS DE FUNCIONAMIENTO E INVERSIÓN 2.009</t>
  </si>
  <si>
    <t>Convenio MADR</t>
  </si>
  <si>
    <t>Gastos de interventoria Convenio MADR</t>
  </si>
  <si>
    <t xml:space="preserve">   Programa IAT BPP</t>
  </si>
  <si>
    <t>Supervisión y control</t>
  </si>
  <si>
    <t xml:space="preserve">  Capacitación agentes de la cadena</t>
  </si>
  <si>
    <t>Carta de entendimiento ICA</t>
  </si>
  <si>
    <t>Material apoyo</t>
  </si>
  <si>
    <t>Contratación de personal</t>
  </si>
  <si>
    <t xml:space="preserve">Cadena porcícola -Trazabilidad </t>
  </si>
  <si>
    <t>Campaña de fomento al consumo</t>
  </si>
  <si>
    <t xml:space="preserve">   Diseño y producción de comerciales para testimoniales</t>
  </si>
  <si>
    <t xml:space="preserve">   Pauta testimoniales</t>
  </si>
  <si>
    <t xml:space="preserve">   Material POP</t>
  </si>
  <si>
    <t xml:space="preserve">   Internet-CRM</t>
  </si>
  <si>
    <t xml:space="preserve">   Consultoría Mercadeo Estratégico S.A.</t>
  </si>
  <si>
    <t xml:space="preserve">   Asesorías HACCP y BPM</t>
  </si>
  <si>
    <t xml:space="preserve">   Asesorías ASA-IM</t>
  </si>
  <si>
    <t xml:space="preserve">      Capacitación para Inspectores del INVIMA</t>
  </si>
  <si>
    <t xml:space="preserve">      Capacitación para expendedores</t>
  </si>
  <si>
    <t xml:space="preserve">      Capacitación para plantas sobre diseño sanitario</t>
  </si>
  <si>
    <t xml:space="preserve">   Otras asesorías en calidad e inocuidad</t>
  </si>
  <si>
    <t xml:space="preserve">   Visitas de auditoría</t>
  </si>
  <si>
    <t>Divulgación sectorial</t>
  </si>
  <si>
    <t xml:space="preserve">   Pauta institucional</t>
  </si>
  <si>
    <t xml:space="preserve">   Agroexpo/Porcinino</t>
  </si>
  <si>
    <t xml:space="preserve">   Actividades de promoción en restaurantes</t>
  </si>
  <si>
    <t xml:space="preserve">  LSD </t>
  </si>
  <si>
    <t>Laboratorios Privados PMSS</t>
  </si>
  <si>
    <t>Programa nacional de mejoramiento del estatus sanitario</t>
  </si>
  <si>
    <t>Visitas de Auditoria</t>
  </si>
  <si>
    <t>Asesorias externas</t>
  </si>
  <si>
    <t>Seguimiento PMSS</t>
  </si>
  <si>
    <t>Fortalecimiento de la capacidad diagnóstica</t>
  </si>
  <si>
    <t>Piloto Resolución 2640 ICA</t>
  </si>
  <si>
    <t>Investigación Corpocaldas</t>
  </si>
  <si>
    <t>ANDI</t>
  </si>
  <si>
    <t xml:space="preserve">Convenios CAR´s </t>
  </si>
  <si>
    <t>Asesoría pequeños</t>
  </si>
  <si>
    <t>Recertificación ISO 9001</t>
  </si>
  <si>
    <t>Identificación de canales (venta de precintos)</t>
  </si>
  <si>
    <t>Seguimiento a planes de accion CAR's</t>
  </si>
  <si>
    <t xml:space="preserve">   Seguimiento y control</t>
  </si>
  <si>
    <t xml:space="preserve">   Pagina web consumidor</t>
  </si>
  <si>
    <t xml:space="preserve">   Material de formación a expendios</t>
  </si>
  <si>
    <t xml:space="preserve">Material formación y registros en base de datos </t>
  </si>
  <si>
    <t xml:space="preserve">  Actividades de seguimiento y control</t>
  </si>
  <si>
    <t xml:space="preserve">  Entrenamiento</t>
  </si>
  <si>
    <t xml:space="preserve">  Socialización sello de respaldo</t>
  </si>
  <si>
    <t xml:space="preserve">  Creación grupo élite</t>
  </si>
  <si>
    <t xml:space="preserve">  Actividades de capacitación y material de apoyo</t>
  </si>
  <si>
    <t xml:space="preserve">  Talleres de promoción al consumo</t>
  </si>
  <si>
    <t xml:space="preserve">  Organizar y patrocinar congresos o actividades de esta especialidad médica.</t>
  </si>
  <si>
    <t xml:space="preserve">  Planes de acompañamiento a profesionales relacionados </t>
  </si>
  <si>
    <t xml:space="preserve">  Aval ACODIN todos los medios</t>
  </si>
  <si>
    <t>Sensibilización a profesionales de la salud y otros relacionados con el tema de nutrición y alimentación</t>
  </si>
  <si>
    <t>Desarrollo del sello de respaldo</t>
  </si>
  <si>
    <t>ANEXO 2</t>
  </si>
  <si>
    <t>Convenio Uniandes</t>
  </si>
  <si>
    <t>Continuación Investigación sistemas de trazabilidad Convenio MADR</t>
  </si>
  <si>
    <t xml:space="preserve">  ASA</t>
  </si>
  <si>
    <t xml:space="preserve">  Visitas de auditoría</t>
  </si>
  <si>
    <t>ACUERDO 3/09</t>
  </si>
  <si>
    <t>PRESUPUESTO DEFINITIVO 2009</t>
  </si>
  <si>
    <t xml:space="preserve">       Contrapartida MADR</t>
  </si>
  <si>
    <t>ACUERDO 5/09</t>
  </si>
  <si>
    <t>ACUERDO 4/09</t>
  </si>
  <si>
    <t>Continuación Asesorías Consolidación Empresarial</t>
  </si>
  <si>
    <t>Arrendamientos de equipos e instalaciones</t>
  </si>
  <si>
    <t xml:space="preserve">Convenio SENA </t>
  </si>
  <si>
    <t xml:space="preserve">       Contrapartida FNP-productores</t>
  </si>
  <si>
    <t xml:space="preserve">   Campaña reactivación del consumo</t>
  </si>
  <si>
    <t>ACUERDO 8/09</t>
  </si>
  <si>
    <t>Talleres de formación técnica</t>
  </si>
  <si>
    <t xml:space="preserve">  Registro sello de respaldo</t>
  </si>
  <si>
    <t xml:space="preserve">  Asesoria SGS</t>
  </si>
</sst>
</file>

<file path=xl/styles.xml><?xml version="1.0" encoding="utf-8"?>
<styleSheet xmlns="http://schemas.openxmlformats.org/spreadsheetml/2006/main">
  <numFmts count="5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_-* #,##0.00\ _€_-;\-* #,##0.00\ _€_-;_-* &quot;-&quot;??\ _€_-;_-@_-"/>
    <numFmt numFmtId="187" formatCode="_ * #,##0_ ;_ * \-#,##0_ ;_ * &quot;-&quot;??_ ;_ @_ "/>
    <numFmt numFmtId="188" formatCode="0.0%"/>
    <numFmt numFmtId="189" formatCode="_(* #,##0_);_(* \(#,##0\);_(* &quot;-&quot;??_);_(@_)"/>
    <numFmt numFmtId="190" formatCode="_(* #,##0.000_);_(* \(#,##0.000\);_(* &quot;-&quot;??_);_(@_)"/>
    <numFmt numFmtId="191" formatCode="#,##0;[Red]#,##0"/>
    <numFmt numFmtId="192" formatCode="0.000%"/>
    <numFmt numFmtId="193" formatCode="&quot;$&quot;\ #,##0"/>
    <numFmt numFmtId="194" formatCode="_-* #,##0\ _€_-;\-* #,##0\ _€_-;_-* &quot;-&quot;??\ _€_-;_-@_-"/>
    <numFmt numFmtId="195" formatCode="_ &quot;$&quot;\ * #,##0_ ;_ &quot;$&quot;\ * \-#,##0_ ;_ &quot;$&quot;\ * &quot;-&quot;??_ ;_ @_ "/>
    <numFmt numFmtId="196" formatCode="[$$-240A]\ #,##0.00"/>
    <numFmt numFmtId="197" formatCode="&quot;$&quot;\ #,##0.00"/>
    <numFmt numFmtId="198" formatCode="0.0"/>
    <numFmt numFmtId="199" formatCode="[$$-240A]\ #,##0.0"/>
    <numFmt numFmtId="200" formatCode="[$$-240A]\ #,##0"/>
    <numFmt numFmtId="201" formatCode="[$$-240A]\ #,##0.000"/>
    <numFmt numFmtId="202" formatCode="[$$-240A]\ #,##0.0000"/>
    <numFmt numFmtId="203" formatCode="[$$-240A]\ #,##0.00000"/>
    <numFmt numFmtId="204" formatCode="[$$-240A]\ #,##0.000000"/>
    <numFmt numFmtId="205" formatCode="_ * #,##0.0_ ;_ * \-#,##0.0_ ;_ * &quot;-&quot;??_ ;_ @_ "/>
    <numFmt numFmtId="206" formatCode="_ * #,##0.000_ ;_ * \-#,##0.000_ ;_ * &quot;-&quot;??_ ;_ @_ "/>
    <numFmt numFmtId="207" formatCode="_ * #,##0.0000_ ;_ * \-#,##0.0000_ ;_ * &quot;-&quot;??_ ;_ @_ "/>
    <numFmt numFmtId="208" formatCode="#,##0.0"/>
    <numFmt numFmtId="209" formatCode="0.000"/>
    <numFmt numFmtId="210" formatCode="0.0000"/>
  </numFmts>
  <fonts count="61">
    <font>
      <sz val="10"/>
      <name val="Arial"/>
      <family val="0"/>
    </font>
    <font>
      <sz val="9"/>
      <name val="Times New Roman"/>
      <family val="1"/>
    </font>
    <font>
      <b/>
      <sz val="9"/>
      <name val="Times New Roman"/>
      <family val="1"/>
    </font>
    <font>
      <b/>
      <sz val="10"/>
      <name val="Arial"/>
      <family val="2"/>
    </font>
    <font>
      <sz val="11"/>
      <name val="Arial"/>
      <family val="2"/>
    </font>
    <font>
      <b/>
      <sz val="11"/>
      <name val="Times New Roman"/>
      <family val="1"/>
    </font>
    <font>
      <sz val="11"/>
      <name val="Times New Roman"/>
      <family val="1"/>
    </font>
    <font>
      <b/>
      <sz val="10"/>
      <name val="Times New Roman"/>
      <family val="1"/>
    </font>
    <font>
      <u val="single"/>
      <sz val="10"/>
      <color indexed="12"/>
      <name val="Arial"/>
      <family val="2"/>
    </font>
    <font>
      <u val="single"/>
      <sz val="10"/>
      <color indexed="36"/>
      <name val="Arial"/>
      <family val="2"/>
    </font>
    <font>
      <b/>
      <sz val="8"/>
      <name val="Arial"/>
      <family val="2"/>
    </font>
    <font>
      <sz val="8"/>
      <name val="Arial"/>
      <family val="2"/>
    </font>
    <font>
      <b/>
      <sz val="9"/>
      <name val="Arial"/>
      <family val="2"/>
    </font>
    <font>
      <sz val="9"/>
      <name val="Arial"/>
      <family val="2"/>
    </font>
    <font>
      <b/>
      <sz val="11"/>
      <color indexed="10"/>
      <name val="Times New Roman"/>
      <family val="1"/>
    </font>
    <font>
      <sz val="10"/>
      <name val="Comic Sans MS"/>
      <family val="4"/>
    </font>
    <font>
      <sz val="8"/>
      <name val="Tahoma"/>
      <family val="2"/>
    </font>
    <font>
      <sz val="7"/>
      <name val="Arial"/>
      <family val="2"/>
    </font>
    <font>
      <sz val="10"/>
      <name val="Times New Roman"/>
      <family val="1"/>
    </font>
    <font>
      <b/>
      <sz val="11"/>
      <name val="Comic Sans MS"/>
      <family val="4"/>
    </font>
    <font>
      <sz val="9"/>
      <color indexed="14"/>
      <name val="Times New Roman"/>
      <family val="1"/>
    </font>
    <font>
      <sz val="10"/>
      <color indexed="14"/>
      <name val="Arial"/>
      <family val="2"/>
    </font>
    <font>
      <b/>
      <sz val="11"/>
      <name val="Arial"/>
      <family val="2"/>
    </font>
    <font>
      <sz val="11"/>
      <color indexed="8"/>
      <name val="Arial"/>
      <family val="2"/>
    </font>
    <font>
      <sz val="12"/>
      <name val="Times New Roman"/>
      <family val="1"/>
    </font>
    <font>
      <b/>
      <sz val="12"/>
      <name val="Times New Roman"/>
      <family val="1"/>
    </font>
    <font>
      <b/>
      <sz val="11"/>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s>
  <borders count="10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double"/>
      <top style="thin"/>
      <bottom style="thin"/>
    </border>
    <border>
      <left style="double"/>
      <right style="hair"/>
      <top>
        <color indexed="63"/>
      </top>
      <bottom style="double"/>
    </border>
    <border>
      <left>
        <color indexed="63"/>
      </left>
      <right style="hair"/>
      <top>
        <color indexed="63"/>
      </top>
      <bottom style="double"/>
    </border>
    <border>
      <left style="hair"/>
      <right style="hair"/>
      <top>
        <color indexed="63"/>
      </top>
      <bottom style="double"/>
    </border>
    <border>
      <left style="hair"/>
      <right>
        <color indexed="63"/>
      </right>
      <top>
        <color indexed="63"/>
      </top>
      <bottom style="double"/>
    </border>
    <border>
      <left style="thin"/>
      <right style="double"/>
      <top style="thin"/>
      <bottom style="double"/>
    </border>
    <border>
      <left style="thin"/>
      <right style="thin"/>
      <top>
        <color indexed="63"/>
      </top>
      <bottom style="thin"/>
    </border>
    <border>
      <left style="thin"/>
      <right style="double"/>
      <top>
        <color indexed="63"/>
      </top>
      <bottom style="thin"/>
    </border>
    <border>
      <left style="medium"/>
      <right style="medium"/>
      <top style="medium"/>
      <bottom>
        <color indexed="63"/>
      </bottom>
    </border>
    <border>
      <left style="medium"/>
      <right style="medium"/>
      <top>
        <color indexed="63"/>
      </top>
      <bottom style="medium"/>
    </border>
    <border>
      <left style="thin"/>
      <right style="thin"/>
      <top>
        <color indexed="63"/>
      </top>
      <bottom style="medium"/>
    </border>
    <border>
      <left style="thin"/>
      <right style="thin"/>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style="medium"/>
      <right style="medium"/>
      <top style="medium"/>
      <bottom style="medium"/>
    </border>
    <border>
      <left>
        <color indexed="63"/>
      </left>
      <right>
        <color indexed="63"/>
      </right>
      <top style="medium"/>
      <bottom style="mediu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style="medium"/>
      <bottom>
        <color indexed="63"/>
      </bottom>
    </border>
    <border>
      <left style="medium"/>
      <right style="thin"/>
      <top style="medium"/>
      <bottom style="medium"/>
    </border>
    <border>
      <left style="thin"/>
      <right style="medium"/>
      <top style="medium"/>
      <bottom style="mediu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style="thin"/>
      <top>
        <color indexed="63"/>
      </top>
      <bottom style="medium"/>
    </border>
    <border>
      <left>
        <color indexed="63"/>
      </left>
      <right style="medium"/>
      <top>
        <color indexed="63"/>
      </top>
      <bottom style="medium"/>
    </border>
    <border>
      <left>
        <color indexed="63"/>
      </left>
      <right style="thin"/>
      <top>
        <color indexed="63"/>
      </top>
      <bottom>
        <color indexed="63"/>
      </bottom>
    </border>
    <border>
      <left style="thin"/>
      <right style="thin"/>
      <top>
        <color indexed="63"/>
      </top>
      <bottom>
        <color indexed="63"/>
      </bottom>
    </border>
    <border>
      <left style="medium"/>
      <right style="medium"/>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style="medium"/>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medium"/>
      <right style="medium"/>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medium"/>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color indexed="63"/>
      </right>
      <top>
        <color indexed="63"/>
      </top>
      <bottom>
        <color indexed="63"/>
      </bottom>
    </border>
    <border>
      <left>
        <color indexed="63"/>
      </left>
      <right style="medium"/>
      <top style="medium"/>
      <bottom style="medium"/>
    </border>
    <border>
      <left style="double"/>
      <right style="thin"/>
      <top>
        <color indexed="63"/>
      </top>
      <bottom style="thin"/>
    </border>
    <border>
      <left>
        <color indexed="63"/>
      </left>
      <right style="medium"/>
      <top>
        <color indexed="63"/>
      </top>
      <bottom>
        <color indexed="63"/>
      </bottom>
    </border>
    <border>
      <left style="medium"/>
      <right>
        <color indexed="63"/>
      </right>
      <top style="thin"/>
      <bottom>
        <color indexed="63"/>
      </bottom>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style="medium"/>
      <right style="medium"/>
      <top>
        <color indexed="63"/>
      </top>
      <bottom style="thin"/>
    </border>
    <border>
      <left style="medium"/>
      <right style="thin"/>
      <top style="thin">
        <color indexed="55"/>
      </top>
      <bottom style="thin">
        <color indexed="55"/>
      </bottom>
    </border>
    <border>
      <left style="medium"/>
      <right style="thin"/>
      <top>
        <color indexed="63"/>
      </top>
      <bottom>
        <color indexed="63"/>
      </bottom>
    </border>
    <border>
      <left style="double"/>
      <right>
        <color indexed="63"/>
      </right>
      <top style="double"/>
      <bottom>
        <color indexed="63"/>
      </bottom>
    </border>
    <border>
      <left style="thin"/>
      <right style="thin"/>
      <top style="double"/>
      <bottom>
        <color indexed="63"/>
      </bottom>
    </border>
    <border>
      <left style="thin"/>
      <right style="medium"/>
      <top style="thin">
        <color indexed="55"/>
      </top>
      <bottom style="thin">
        <color indexed="55"/>
      </bottom>
    </border>
    <border>
      <left style="double"/>
      <right style="thin"/>
      <top style="double"/>
      <bottom style="thin"/>
    </border>
    <border>
      <left style="thin"/>
      <right style="thin"/>
      <top style="double"/>
      <bottom style="thin"/>
    </border>
    <border>
      <left style="thin"/>
      <right style="double"/>
      <top style="double"/>
      <bottom style="thin"/>
    </border>
    <border>
      <left style="medium"/>
      <right style="thin"/>
      <top style="medium"/>
      <bottom style="thin">
        <color indexed="55"/>
      </bottom>
    </border>
    <border>
      <left style="thin"/>
      <right style="thin"/>
      <top style="medium"/>
      <bottom style="thin">
        <color indexed="55"/>
      </bottom>
    </border>
    <border>
      <left style="thin"/>
      <right style="medium"/>
      <top style="medium"/>
      <bottom style="thin">
        <color indexed="55"/>
      </bottom>
    </border>
    <border>
      <left style="thin"/>
      <right style="thin"/>
      <top style="thin">
        <color indexed="55"/>
      </top>
      <bottom style="thin">
        <color indexed="55"/>
      </bottom>
    </border>
    <border>
      <left style="medium"/>
      <right style="thin"/>
      <top>
        <color indexed="63"/>
      </top>
      <bottom style="medium"/>
    </border>
    <border>
      <left style="thin"/>
      <right style="medium"/>
      <top>
        <color indexed="63"/>
      </top>
      <bottom style="medium"/>
    </border>
    <border>
      <left style="medium"/>
      <right style="thin"/>
      <top style="thin"/>
      <bottom>
        <color indexed="63"/>
      </bottom>
    </border>
    <border>
      <left style="thin"/>
      <right style="medium"/>
      <top style="thin"/>
      <bottom>
        <color indexed="63"/>
      </bottom>
    </border>
    <border>
      <left style="thin"/>
      <right style="medium"/>
      <top>
        <color indexed="63"/>
      </top>
      <bottom>
        <color indexed="63"/>
      </bottom>
    </border>
    <border>
      <left style="thin"/>
      <right style="thin"/>
      <top style="medium"/>
      <bottom style="medium"/>
    </border>
    <border>
      <left style="medium"/>
      <right style="thin"/>
      <top style="thin">
        <color indexed="55"/>
      </top>
      <bottom>
        <color indexed="63"/>
      </bottom>
    </border>
    <border>
      <left style="thin"/>
      <right style="thin"/>
      <top style="thin">
        <color indexed="55"/>
      </top>
      <bottom>
        <color indexed="63"/>
      </bottom>
    </border>
    <border>
      <left style="thin"/>
      <right style="medium"/>
      <top style="thin">
        <color indexed="55"/>
      </top>
      <bottom>
        <color indexed="63"/>
      </bottom>
    </border>
    <border>
      <left style="medium"/>
      <right style="thin"/>
      <top>
        <color indexed="63"/>
      </top>
      <bottom style="thin">
        <color indexed="55"/>
      </bottom>
    </border>
    <border>
      <left style="thin"/>
      <right style="thin"/>
      <top>
        <color indexed="63"/>
      </top>
      <bottom style="thin">
        <color indexed="55"/>
      </bottom>
    </border>
    <border>
      <left style="thin"/>
      <right style="medium"/>
      <top>
        <color indexed="63"/>
      </top>
      <bottom style="thin">
        <color indexed="55"/>
      </bottom>
    </border>
    <border>
      <left style="double"/>
      <right style="hair"/>
      <top style="hair"/>
      <bottom style="hair"/>
    </border>
    <border>
      <left style="hair"/>
      <right style="hair"/>
      <top style="hair"/>
      <bottom style="double"/>
    </border>
    <border>
      <left>
        <color indexed="63"/>
      </left>
      <right>
        <color indexed="63"/>
      </right>
      <top>
        <color indexed="63"/>
      </top>
      <bottom style="double"/>
    </border>
    <border>
      <left style="hair"/>
      <right style="hair"/>
      <top style="hair"/>
      <bottom style="hair"/>
    </border>
    <border>
      <left>
        <color indexed="63"/>
      </left>
      <right style="double"/>
      <top style="hair"/>
      <bottom style="hair"/>
    </border>
    <border>
      <left style="double"/>
      <right>
        <color indexed="63"/>
      </right>
      <top style="hair"/>
      <bottom style="hair"/>
    </border>
    <border>
      <left>
        <color indexed="63"/>
      </left>
      <right style="hair"/>
      <top style="hair"/>
      <bottom style="hair"/>
    </border>
    <border>
      <left style="hair"/>
      <right style="hair"/>
      <top style="double"/>
      <bottom style="hair"/>
    </border>
    <border>
      <left style="double"/>
      <right style="hair"/>
      <top style="double"/>
      <bottom style="hair"/>
    </border>
    <border>
      <left>
        <color indexed="63"/>
      </left>
      <right style="double"/>
      <top style="double"/>
      <bottom style="hair"/>
    </border>
    <border>
      <left style="double"/>
      <right style="hair"/>
      <top style="hair"/>
      <bottom style="double"/>
    </border>
    <border>
      <left>
        <color indexed="63"/>
      </left>
      <right style="double"/>
      <top style="hair"/>
      <bottom style="double"/>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6" fillId="19" borderId="0" applyNumberFormat="0" applyBorder="0" applyAlignment="0" applyProtection="0"/>
    <xf numFmtId="0" fontId="47" fillId="20" borderId="1" applyNumberFormat="0" applyAlignment="0" applyProtection="0"/>
    <xf numFmtId="0" fontId="48" fillId="21" borderId="2" applyNumberFormat="0" applyAlignment="0" applyProtection="0"/>
    <xf numFmtId="0" fontId="49" fillId="0" borderId="3" applyNumberFormat="0" applyFill="0" applyAlignment="0" applyProtection="0"/>
    <xf numFmtId="0" fontId="50" fillId="0" borderId="4" applyNumberFormat="0" applyFill="0" applyAlignment="0" applyProtection="0"/>
    <xf numFmtId="0" fontId="51" fillId="0" borderId="0" applyNumberFormat="0" applyFill="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52" fillId="28" borderId="1"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53"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90" fontId="0" fillId="0" borderId="0" applyFont="0" applyFill="0" applyBorder="0" applyAlignment="0" applyProtection="0"/>
    <xf numFmtId="0" fontId="0" fillId="0" borderId="0" applyFont="0" applyFill="0" applyBorder="0" applyAlignment="0" applyProtection="0"/>
    <xf numFmtId="171" fontId="0" fillId="0" borderId="0" applyFont="0" applyFill="0" applyBorder="0" applyAlignment="0" applyProtection="0"/>
    <xf numFmtId="185"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4" fillId="30" borderId="0" applyNumberFormat="0" applyBorder="0" applyAlignment="0" applyProtection="0"/>
    <xf numFmtId="0" fontId="0" fillId="0" borderId="0">
      <alignment/>
      <protection/>
    </xf>
    <xf numFmtId="0" fontId="0" fillId="31"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5" fillId="20"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51" fillId="0" borderId="8" applyNumberFormat="0" applyFill="0" applyAlignment="0" applyProtection="0"/>
    <xf numFmtId="0" fontId="60" fillId="0" borderId="9" applyNumberFormat="0" applyFill="0" applyAlignment="0" applyProtection="0"/>
  </cellStyleXfs>
  <cellXfs count="484">
    <xf numFmtId="0" fontId="0" fillId="0" borderId="0" xfId="0" applyAlignment="1">
      <alignment/>
    </xf>
    <xf numFmtId="0" fontId="1" fillId="0" borderId="0" xfId="0" applyFont="1" applyAlignment="1">
      <alignment/>
    </xf>
    <xf numFmtId="0" fontId="0" fillId="0" borderId="0" xfId="0" applyBorder="1" applyAlignment="1">
      <alignment/>
    </xf>
    <xf numFmtId="3" fontId="1" fillId="0" borderId="0" xfId="0" applyNumberFormat="1" applyFont="1" applyAlignment="1">
      <alignment/>
    </xf>
    <xf numFmtId="3" fontId="0" fillId="0" borderId="0" xfId="0" applyNumberFormat="1" applyAlignment="1">
      <alignment/>
    </xf>
    <xf numFmtId="3" fontId="5" fillId="0" borderId="10" xfId="0" applyNumberFormat="1" applyFont="1" applyFill="1" applyBorder="1" applyAlignment="1">
      <alignment/>
    </xf>
    <xf numFmtId="3" fontId="5" fillId="0" borderId="10" xfId="0" applyNumberFormat="1" applyFont="1" applyBorder="1" applyAlignment="1">
      <alignment/>
    </xf>
    <xf numFmtId="2" fontId="5" fillId="0" borderId="11" xfId="0" applyNumberFormat="1" applyFont="1" applyBorder="1" applyAlignment="1">
      <alignment/>
    </xf>
    <xf numFmtId="3" fontId="6" fillId="0" borderId="10" xfId="0" applyNumberFormat="1" applyFont="1" applyFill="1" applyBorder="1" applyAlignment="1">
      <alignment/>
    </xf>
    <xf numFmtId="3" fontId="6" fillId="0" borderId="10" xfId="0" applyNumberFormat="1" applyFont="1" applyBorder="1" applyAlignment="1">
      <alignment/>
    </xf>
    <xf numFmtId="2" fontId="6" fillId="0" borderId="11" xfId="0" applyNumberFormat="1" applyFont="1" applyBorder="1" applyAlignment="1">
      <alignment/>
    </xf>
    <xf numFmtId="0" fontId="6" fillId="0" borderId="10" xfId="0" applyFont="1" applyBorder="1" applyAlignment="1">
      <alignment/>
    </xf>
    <xf numFmtId="0" fontId="6" fillId="0" borderId="11" xfId="0" applyFont="1" applyBorder="1" applyAlignment="1">
      <alignment/>
    </xf>
    <xf numFmtId="0" fontId="6" fillId="0" borderId="10" xfId="0" applyFont="1" applyFill="1" applyBorder="1" applyAlignment="1">
      <alignment/>
    </xf>
    <xf numFmtId="188" fontId="6" fillId="0" borderId="10" xfId="61" applyNumberFormat="1" applyFont="1" applyBorder="1" applyAlignment="1">
      <alignment/>
    </xf>
    <xf numFmtId="0" fontId="5" fillId="32" borderId="10" xfId="0" applyFont="1" applyFill="1" applyBorder="1" applyAlignment="1">
      <alignment/>
    </xf>
    <xf numFmtId="3" fontId="5" fillId="32" borderId="10" xfId="0" applyNumberFormat="1" applyFont="1" applyFill="1" applyBorder="1" applyAlignment="1">
      <alignment/>
    </xf>
    <xf numFmtId="2" fontId="5" fillId="32" borderId="11" xfId="0" applyNumberFormat="1" applyFont="1" applyFill="1" applyBorder="1" applyAlignment="1">
      <alignment/>
    </xf>
    <xf numFmtId="187" fontId="6" fillId="0" borderId="10" xfId="49" applyNumberFormat="1" applyFont="1" applyBorder="1" applyAlignment="1">
      <alignment/>
    </xf>
    <xf numFmtId="4" fontId="6" fillId="0" borderId="11" xfId="0" applyNumberFormat="1" applyFont="1" applyBorder="1" applyAlignment="1">
      <alignment/>
    </xf>
    <xf numFmtId="0" fontId="6" fillId="0" borderId="12" xfId="0" applyFont="1" applyBorder="1" applyAlignment="1">
      <alignment/>
    </xf>
    <xf numFmtId="3" fontId="6" fillId="0" borderId="13" xfId="0" applyNumberFormat="1" applyFont="1" applyBorder="1" applyAlignment="1">
      <alignment/>
    </xf>
    <xf numFmtId="0" fontId="6" fillId="0" borderId="14" xfId="0" applyFont="1" applyBorder="1" applyAlignment="1">
      <alignment/>
    </xf>
    <xf numFmtId="0" fontId="6" fillId="0" borderId="15" xfId="0" applyFont="1" applyBorder="1" applyAlignment="1">
      <alignment/>
    </xf>
    <xf numFmtId="3" fontId="6" fillId="0" borderId="16" xfId="0" applyNumberFormat="1" applyFont="1" applyBorder="1" applyAlignment="1">
      <alignment/>
    </xf>
    <xf numFmtId="37" fontId="5" fillId="0" borderId="10" xfId="0" applyNumberFormat="1" applyFont="1" applyFill="1" applyBorder="1" applyAlignment="1">
      <alignment vertical="top" wrapText="1"/>
    </xf>
    <xf numFmtId="37" fontId="5" fillId="0" borderId="10" xfId="0" applyNumberFormat="1" applyFont="1" applyFill="1" applyBorder="1" applyAlignment="1">
      <alignment/>
    </xf>
    <xf numFmtId="3" fontId="5" fillId="0" borderId="10" xfId="0" applyNumberFormat="1" applyFont="1" applyFill="1" applyBorder="1" applyAlignment="1">
      <alignment vertical="top" wrapText="1"/>
    </xf>
    <xf numFmtId="37" fontId="6" fillId="0" borderId="10" xfId="0" applyNumberFormat="1" applyFont="1" applyFill="1" applyBorder="1" applyAlignment="1">
      <alignment/>
    </xf>
    <xf numFmtId="37" fontId="6" fillId="0" borderId="10" xfId="0" applyNumberFormat="1" applyFont="1" applyFill="1" applyBorder="1" applyAlignment="1">
      <alignment vertical="top" wrapText="1"/>
    </xf>
    <xf numFmtId="3" fontId="6" fillId="0" borderId="10" xfId="0" applyNumberFormat="1" applyFont="1" applyFill="1" applyBorder="1" applyAlignment="1">
      <alignment vertical="top" wrapText="1"/>
    </xf>
    <xf numFmtId="3" fontId="7" fillId="0" borderId="17" xfId="0" applyNumberFormat="1" applyFont="1" applyBorder="1" applyAlignment="1">
      <alignment horizontal="center" vertical="center"/>
    </xf>
    <xf numFmtId="0" fontId="7" fillId="0" borderId="17" xfId="0" applyFont="1" applyBorder="1" applyAlignment="1">
      <alignment horizontal="center" vertical="center" wrapText="1"/>
    </xf>
    <xf numFmtId="0" fontId="7" fillId="0" borderId="18" xfId="0" applyFont="1" applyBorder="1" applyAlignment="1">
      <alignment horizontal="center"/>
    </xf>
    <xf numFmtId="0" fontId="5" fillId="0" borderId="0" xfId="0" applyFont="1" applyAlignment="1">
      <alignment horizontal="center"/>
    </xf>
    <xf numFmtId="0" fontId="6" fillId="0" borderId="0" xfId="0" applyFont="1" applyAlignment="1">
      <alignment/>
    </xf>
    <xf numFmtId="187" fontId="6" fillId="0" borderId="10" xfId="49" applyNumberFormat="1" applyFont="1" applyFill="1" applyBorder="1" applyAlignment="1">
      <alignment/>
    </xf>
    <xf numFmtId="0" fontId="11" fillId="0" borderId="0" xfId="0" applyFont="1" applyAlignment="1">
      <alignment/>
    </xf>
    <xf numFmtId="15" fontId="0" fillId="0" borderId="0" xfId="0" applyNumberFormat="1" applyAlignment="1">
      <alignment/>
    </xf>
    <xf numFmtId="0" fontId="12" fillId="0" borderId="0" xfId="0" applyFont="1" applyAlignment="1">
      <alignment/>
    </xf>
    <xf numFmtId="0" fontId="5" fillId="0" borderId="19" xfId="0" applyFont="1" applyBorder="1" applyAlignment="1">
      <alignment horizontal="center"/>
    </xf>
    <xf numFmtId="0" fontId="5" fillId="0" borderId="20" xfId="0" applyFont="1" applyBorder="1" applyAlignment="1">
      <alignment horizontal="center"/>
    </xf>
    <xf numFmtId="0" fontId="12" fillId="0" borderId="0" xfId="0" applyFont="1" applyAlignment="1">
      <alignment horizontal="center"/>
    </xf>
    <xf numFmtId="0" fontId="13" fillId="0" borderId="0" xfId="0" applyFont="1" applyAlignment="1">
      <alignment/>
    </xf>
    <xf numFmtId="0" fontId="5" fillId="0" borderId="21" xfId="0" applyFont="1" applyBorder="1" applyAlignment="1">
      <alignment horizontal="center"/>
    </xf>
    <xf numFmtId="189" fontId="13" fillId="0" borderId="0" xfId="55" applyNumberFormat="1" applyFont="1" applyAlignment="1">
      <alignment/>
    </xf>
    <xf numFmtId="15" fontId="13" fillId="0" borderId="0" xfId="55" applyNumberFormat="1" applyFont="1" applyAlignment="1">
      <alignment/>
    </xf>
    <xf numFmtId="189" fontId="12" fillId="0" borderId="0" xfId="55" applyNumberFormat="1" applyFont="1" applyAlignment="1">
      <alignment/>
    </xf>
    <xf numFmtId="185" fontId="13" fillId="0" borderId="0" xfId="55" applyFont="1" applyAlignment="1">
      <alignment/>
    </xf>
    <xf numFmtId="185" fontId="13" fillId="0" borderId="0" xfId="0" applyNumberFormat="1" applyFont="1" applyAlignment="1">
      <alignment/>
    </xf>
    <xf numFmtId="190" fontId="13" fillId="0" borderId="0" xfId="0" applyNumberFormat="1" applyFont="1" applyAlignment="1">
      <alignment/>
    </xf>
    <xf numFmtId="189" fontId="13" fillId="0" borderId="0" xfId="0" applyNumberFormat="1" applyFont="1" applyAlignment="1">
      <alignment/>
    </xf>
    <xf numFmtId="15" fontId="13" fillId="0" borderId="0" xfId="0" applyNumberFormat="1" applyFont="1" applyAlignment="1">
      <alignment/>
    </xf>
    <xf numFmtId="0" fontId="5" fillId="0" borderId="22" xfId="0" applyFont="1" applyBorder="1" applyAlignment="1">
      <alignment horizontal="center"/>
    </xf>
    <xf numFmtId="0" fontId="0" fillId="0" borderId="0" xfId="0" applyAlignment="1">
      <alignment/>
    </xf>
    <xf numFmtId="0" fontId="6" fillId="0" borderId="23" xfId="0" applyFont="1" applyBorder="1" applyAlignment="1">
      <alignment/>
    </xf>
    <xf numFmtId="0" fontId="6" fillId="0" borderId="24" xfId="0" applyFont="1" applyBorder="1" applyAlignment="1">
      <alignment/>
    </xf>
    <xf numFmtId="0" fontId="14" fillId="0" borderId="19" xfId="0" applyFont="1" applyBorder="1" applyAlignment="1">
      <alignment horizontal="center"/>
    </xf>
    <xf numFmtId="0" fontId="12" fillId="0" borderId="0" xfId="0" applyFont="1" applyAlignment="1">
      <alignment/>
    </xf>
    <xf numFmtId="0" fontId="5" fillId="0" borderId="20" xfId="0" applyFont="1" applyBorder="1" applyAlignment="1">
      <alignment/>
    </xf>
    <xf numFmtId="0" fontId="14" fillId="0" borderId="20" xfId="0" applyFont="1" applyBorder="1" applyAlignment="1">
      <alignment horizontal="center"/>
    </xf>
    <xf numFmtId="0" fontId="5" fillId="32" borderId="25" xfId="0" applyFont="1" applyFill="1" applyBorder="1" applyAlignment="1">
      <alignment horizontal="center"/>
    </xf>
    <xf numFmtId="189" fontId="6" fillId="32" borderId="26" xfId="0" applyNumberFormat="1" applyFont="1" applyFill="1" applyBorder="1" applyAlignment="1">
      <alignment/>
    </xf>
    <xf numFmtId="189" fontId="6" fillId="32" borderId="27" xfId="0" applyNumberFormat="1" applyFont="1" applyFill="1" applyBorder="1" applyAlignment="1">
      <alignment horizontal="center"/>
    </xf>
    <xf numFmtId="189" fontId="6" fillId="32" borderId="25" xfId="0" applyNumberFormat="1" applyFont="1" applyFill="1" applyBorder="1" applyAlignment="1">
      <alignment horizontal="center"/>
    </xf>
    <xf numFmtId="189" fontId="6" fillId="32" borderId="19" xfId="0" applyNumberFormat="1" applyFont="1" applyFill="1" applyBorder="1" applyAlignment="1">
      <alignment/>
    </xf>
    <xf numFmtId="189" fontId="12" fillId="0" borderId="0" xfId="0" applyNumberFormat="1" applyFont="1" applyAlignment="1">
      <alignment/>
    </xf>
    <xf numFmtId="189" fontId="6" fillId="0" borderId="28" xfId="0" applyNumberFormat="1" applyFont="1" applyBorder="1" applyAlignment="1">
      <alignment/>
    </xf>
    <xf numFmtId="189" fontId="6" fillId="0" borderId="28" xfId="55" applyNumberFormat="1" applyFont="1" applyBorder="1" applyAlignment="1">
      <alignment/>
    </xf>
    <xf numFmtId="189" fontId="6" fillId="0" borderId="29" xfId="0" applyNumberFormat="1" applyFont="1" applyBorder="1" applyAlignment="1">
      <alignment/>
    </xf>
    <xf numFmtId="189" fontId="6" fillId="0" borderId="19" xfId="55" applyNumberFormat="1" applyFont="1" applyBorder="1" applyAlignment="1">
      <alignment/>
    </xf>
    <xf numFmtId="189" fontId="6" fillId="0" borderId="20" xfId="55" applyNumberFormat="1" applyFont="1" applyBorder="1" applyAlignment="1">
      <alignment/>
    </xf>
    <xf numFmtId="0" fontId="13" fillId="0" borderId="0" xfId="0" applyFont="1" applyAlignment="1">
      <alignment/>
    </xf>
    <xf numFmtId="189" fontId="5" fillId="32" borderId="25" xfId="55" applyNumberFormat="1" applyFont="1" applyFill="1" applyBorder="1" applyAlignment="1">
      <alignment horizontal="center"/>
    </xf>
    <xf numFmtId="189" fontId="6" fillId="32" borderId="27" xfId="55" applyNumberFormat="1" applyFont="1" applyFill="1" applyBorder="1" applyAlignment="1">
      <alignment horizontal="center"/>
    </xf>
    <xf numFmtId="189" fontId="6" fillId="32" borderId="25" xfId="55" applyNumberFormat="1" applyFont="1" applyFill="1" applyBorder="1" applyAlignment="1">
      <alignment horizontal="center"/>
    </xf>
    <xf numFmtId="189" fontId="6" fillId="0" borderId="26" xfId="55" applyNumberFormat="1" applyFont="1" applyBorder="1" applyAlignment="1">
      <alignment/>
    </xf>
    <xf numFmtId="189" fontId="6" fillId="0" borderId="26" xfId="0" applyNumberFormat="1" applyFont="1" applyBorder="1" applyAlignment="1">
      <alignment/>
    </xf>
    <xf numFmtId="189" fontId="6" fillId="0" borderId="25" xfId="0" applyNumberFormat="1" applyFont="1" applyBorder="1" applyAlignment="1">
      <alignment/>
    </xf>
    <xf numFmtId="189" fontId="6" fillId="0" borderId="19" xfId="0" applyNumberFormat="1" applyFont="1" applyBorder="1" applyAlignment="1">
      <alignment/>
    </xf>
    <xf numFmtId="189" fontId="6" fillId="0" borderId="30" xfId="0" applyNumberFormat="1" applyFont="1" applyBorder="1" applyAlignment="1">
      <alignment/>
    </xf>
    <xf numFmtId="189" fontId="6" fillId="0" borderId="20" xfId="0" applyNumberFormat="1" applyFont="1" applyBorder="1" applyAlignment="1">
      <alignment/>
    </xf>
    <xf numFmtId="189" fontId="6" fillId="0" borderId="23" xfId="0" applyNumberFormat="1" applyFont="1" applyBorder="1" applyAlignment="1">
      <alignment/>
    </xf>
    <xf numFmtId="189" fontId="5" fillId="32" borderId="31" xfId="55" applyNumberFormat="1" applyFont="1" applyFill="1" applyBorder="1" applyAlignment="1">
      <alignment horizontal="left"/>
    </xf>
    <xf numFmtId="189" fontId="5" fillId="32" borderId="32" xfId="55" applyNumberFormat="1" applyFont="1" applyFill="1" applyBorder="1" applyAlignment="1">
      <alignment/>
    </xf>
    <xf numFmtId="189" fontId="5" fillId="32" borderId="26" xfId="0" applyNumberFormat="1" applyFont="1" applyFill="1" applyBorder="1" applyAlignment="1">
      <alignment/>
    </xf>
    <xf numFmtId="189" fontId="5" fillId="32" borderId="25" xfId="0" applyNumberFormat="1" applyFont="1" applyFill="1" applyBorder="1" applyAlignment="1">
      <alignment/>
    </xf>
    <xf numFmtId="189" fontId="13" fillId="0" borderId="0" xfId="55" applyNumberFormat="1" applyFont="1" applyAlignment="1">
      <alignment/>
    </xf>
    <xf numFmtId="189" fontId="13" fillId="0" borderId="0" xfId="0" applyNumberFormat="1" applyFont="1" applyAlignment="1">
      <alignment/>
    </xf>
    <xf numFmtId="0" fontId="5" fillId="0" borderId="19" xfId="0" applyFont="1" applyBorder="1" applyAlignment="1">
      <alignment/>
    </xf>
    <xf numFmtId="189" fontId="6" fillId="0" borderId="19" xfId="0" applyNumberFormat="1" applyFont="1" applyBorder="1" applyAlignment="1">
      <alignment/>
    </xf>
    <xf numFmtId="0" fontId="5" fillId="0" borderId="0" xfId="0" applyFont="1" applyAlignment="1">
      <alignment horizontal="centerContinuous"/>
    </xf>
    <xf numFmtId="15" fontId="6" fillId="0" borderId="0" xfId="0" applyNumberFormat="1" applyFont="1" applyAlignment="1">
      <alignment horizontal="centerContinuous"/>
    </xf>
    <xf numFmtId="0" fontId="6" fillId="0" borderId="0" xfId="0" applyFont="1" applyAlignment="1">
      <alignment horizontal="centerContinuous"/>
    </xf>
    <xf numFmtId="15" fontId="6" fillId="0" borderId="0" xfId="0" applyNumberFormat="1" applyFont="1" applyAlignment="1">
      <alignment/>
    </xf>
    <xf numFmtId="185" fontId="6" fillId="0" borderId="0" xfId="55" applyFont="1" applyAlignment="1">
      <alignment/>
    </xf>
    <xf numFmtId="0" fontId="5" fillId="0" borderId="33" xfId="0" applyFont="1" applyBorder="1" applyAlignment="1">
      <alignment horizontal="center"/>
    </xf>
    <xf numFmtId="0" fontId="5" fillId="0" borderId="34" xfId="0" applyFont="1" applyBorder="1" applyAlignment="1">
      <alignment horizontal="center"/>
    </xf>
    <xf numFmtId="15" fontId="5" fillId="0" borderId="34" xfId="0" applyNumberFormat="1" applyFont="1" applyBorder="1" applyAlignment="1">
      <alignment horizontal="center"/>
    </xf>
    <xf numFmtId="15" fontId="5" fillId="0" borderId="33" xfId="0" applyNumberFormat="1" applyFont="1" applyBorder="1" applyAlignment="1">
      <alignment horizontal="center"/>
    </xf>
    <xf numFmtId="0" fontId="5" fillId="0" borderId="35" xfId="0" applyFont="1" applyBorder="1" applyAlignment="1">
      <alignment horizontal="center"/>
    </xf>
    <xf numFmtId="0" fontId="5" fillId="0" borderId="22" xfId="0" applyFont="1" applyBorder="1" applyAlignment="1">
      <alignment/>
    </xf>
    <xf numFmtId="185" fontId="5" fillId="0" borderId="22" xfId="55" applyFont="1" applyBorder="1" applyAlignment="1">
      <alignment horizontal="center"/>
    </xf>
    <xf numFmtId="0" fontId="5" fillId="0" borderId="36" xfId="0" applyFont="1" applyBorder="1" applyAlignment="1">
      <alignment/>
    </xf>
    <xf numFmtId="0" fontId="5" fillId="0" borderId="0" xfId="0" applyFont="1" applyAlignment="1">
      <alignment/>
    </xf>
    <xf numFmtId="0" fontId="5" fillId="0" borderId="24" xfId="0" applyFont="1" applyBorder="1" applyAlignment="1">
      <alignment horizontal="center"/>
    </xf>
    <xf numFmtId="15" fontId="5" fillId="0" borderId="37" xfId="0" applyNumberFormat="1" applyFont="1" applyBorder="1" applyAlignment="1">
      <alignment horizontal="center"/>
    </xf>
    <xf numFmtId="0" fontId="5" fillId="0" borderId="21" xfId="0" applyFont="1" applyBorder="1" applyAlignment="1">
      <alignment/>
    </xf>
    <xf numFmtId="0" fontId="5" fillId="0" borderId="38" xfId="0" applyFont="1" applyBorder="1" applyAlignment="1">
      <alignment horizontal="center"/>
    </xf>
    <xf numFmtId="0" fontId="5" fillId="0" borderId="28" xfId="0" applyFont="1" applyBorder="1" applyAlignment="1">
      <alignment horizontal="left"/>
    </xf>
    <xf numFmtId="0" fontId="5" fillId="0" borderId="39" xfId="0" applyFont="1" applyBorder="1" applyAlignment="1">
      <alignment horizontal="center"/>
    </xf>
    <xf numFmtId="15" fontId="5" fillId="0" borderId="40" xfId="0" applyNumberFormat="1" applyFont="1" applyBorder="1" applyAlignment="1">
      <alignment horizontal="center"/>
    </xf>
    <xf numFmtId="0" fontId="5" fillId="0" borderId="40" xfId="0" applyFont="1" applyBorder="1" applyAlignment="1">
      <alignment horizontal="center"/>
    </xf>
    <xf numFmtId="0" fontId="5" fillId="0" borderId="40" xfId="0" applyFont="1" applyBorder="1" applyAlignment="1">
      <alignment/>
    </xf>
    <xf numFmtId="189" fontId="6" fillId="0" borderId="0" xfId="0" applyNumberFormat="1" applyFont="1" applyAlignment="1">
      <alignment/>
    </xf>
    <xf numFmtId="189" fontId="6" fillId="0" borderId="41" xfId="55" applyNumberFormat="1" applyFont="1" applyBorder="1" applyAlignment="1">
      <alignment horizontal="left"/>
    </xf>
    <xf numFmtId="189" fontId="6" fillId="0" borderId="42" xfId="55" applyNumberFormat="1" applyFont="1" applyBorder="1" applyAlignment="1">
      <alignment/>
    </xf>
    <xf numFmtId="9" fontId="6" fillId="0" borderId="43" xfId="55" applyNumberFormat="1" applyFont="1" applyBorder="1" applyAlignment="1">
      <alignment/>
    </xf>
    <xf numFmtId="15" fontId="5" fillId="0" borderId="10" xfId="55" applyNumberFormat="1" applyFont="1" applyBorder="1" applyAlignment="1">
      <alignment/>
    </xf>
    <xf numFmtId="189" fontId="6" fillId="0" borderId="10" xfId="55" applyNumberFormat="1" applyFont="1" applyBorder="1" applyAlignment="1">
      <alignment/>
    </xf>
    <xf numFmtId="189" fontId="6" fillId="0" borderId="41" xfId="0" applyNumberFormat="1" applyFont="1" applyBorder="1" applyAlignment="1">
      <alignment/>
    </xf>
    <xf numFmtId="189" fontId="6" fillId="0" borderId="43" xfId="0" applyNumberFormat="1" applyFont="1" applyBorder="1" applyAlignment="1">
      <alignment/>
    </xf>
    <xf numFmtId="189" fontId="6" fillId="0" borderId="10" xfId="0" applyNumberFormat="1" applyFont="1" applyBorder="1" applyAlignment="1">
      <alignment/>
    </xf>
    <xf numFmtId="189" fontId="6" fillId="0" borderId="44" xfId="0" applyNumberFormat="1" applyFont="1" applyBorder="1" applyAlignment="1">
      <alignment/>
    </xf>
    <xf numFmtId="189" fontId="5" fillId="0" borderId="45" xfId="55" applyNumberFormat="1" applyFont="1" applyBorder="1" applyAlignment="1">
      <alignment horizontal="left"/>
    </xf>
    <xf numFmtId="189" fontId="5" fillId="0" borderId="46" xfId="55" applyNumberFormat="1" applyFont="1" applyBorder="1" applyAlignment="1">
      <alignment/>
    </xf>
    <xf numFmtId="9" fontId="5" fillId="0" borderId="47" xfId="55" applyNumberFormat="1" applyFont="1" applyBorder="1" applyAlignment="1">
      <alignment/>
    </xf>
    <xf numFmtId="15" fontId="6" fillId="0" borderId="48" xfId="55" applyNumberFormat="1" applyFont="1" applyBorder="1" applyAlignment="1">
      <alignment/>
    </xf>
    <xf numFmtId="189" fontId="5" fillId="0" borderId="48" xfId="55" applyNumberFormat="1" applyFont="1" applyBorder="1" applyAlignment="1">
      <alignment/>
    </xf>
    <xf numFmtId="189" fontId="5" fillId="0" borderId="49" xfId="55" applyNumberFormat="1" applyFont="1" applyBorder="1" applyAlignment="1">
      <alignment/>
    </xf>
    <xf numFmtId="189" fontId="5" fillId="0" borderId="20" xfId="55" applyNumberFormat="1" applyFont="1" applyBorder="1" applyAlignment="1">
      <alignment/>
    </xf>
    <xf numFmtId="189" fontId="5" fillId="0" borderId="20" xfId="0" applyNumberFormat="1" applyFont="1" applyBorder="1" applyAlignment="1">
      <alignment/>
    </xf>
    <xf numFmtId="189" fontId="5" fillId="0" borderId="0" xfId="0" applyNumberFormat="1" applyFont="1" applyAlignment="1">
      <alignment/>
    </xf>
    <xf numFmtId="189" fontId="5" fillId="0" borderId="28" xfId="55" applyNumberFormat="1" applyFont="1" applyBorder="1" applyAlignment="1">
      <alignment horizontal="left"/>
    </xf>
    <xf numFmtId="189" fontId="6" fillId="0" borderId="50" xfId="55" applyNumberFormat="1" applyFont="1" applyBorder="1" applyAlignment="1">
      <alignment/>
    </xf>
    <xf numFmtId="9" fontId="6" fillId="0" borderId="51" xfId="55" applyNumberFormat="1" applyFont="1" applyBorder="1" applyAlignment="1">
      <alignment/>
    </xf>
    <xf numFmtId="15" fontId="6" fillId="0" borderId="17" xfId="55" applyNumberFormat="1" applyFont="1" applyBorder="1" applyAlignment="1">
      <alignment/>
    </xf>
    <xf numFmtId="189" fontId="6" fillId="0" borderId="17" xfId="55" applyNumberFormat="1" applyFont="1" applyBorder="1" applyAlignment="1">
      <alignment/>
    </xf>
    <xf numFmtId="189" fontId="6" fillId="0" borderId="52" xfId="55" applyNumberFormat="1" applyFont="1" applyBorder="1" applyAlignment="1">
      <alignment/>
    </xf>
    <xf numFmtId="189" fontId="6" fillId="0" borderId="44" xfId="55" applyNumberFormat="1" applyFont="1" applyBorder="1" applyAlignment="1">
      <alignment/>
    </xf>
    <xf numFmtId="189" fontId="5" fillId="0" borderId="53" xfId="55" applyNumberFormat="1" applyFont="1" applyBorder="1" applyAlignment="1">
      <alignment horizontal="left"/>
    </xf>
    <xf numFmtId="189" fontId="5" fillId="0" borderId="54" xfId="55" applyNumberFormat="1" applyFont="1" applyBorder="1" applyAlignment="1">
      <alignment/>
    </xf>
    <xf numFmtId="9" fontId="5" fillId="0" borderId="55" xfId="55" applyNumberFormat="1" applyFont="1" applyBorder="1" applyAlignment="1">
      <alignment/>
    </xf>
    <xf numFmtId="15" fontId="6" fillId="0" borderId="56" xfId="55" applyNumberFormat="1" applyFont="1" applyBorder="1" applyAlignment="1">
      <alignment/>
    </xf>
    <xf numFmtId="189" fontId="5" fillId="0" borderId="56" xfId="55" applyNumberFormat="1" applyFont="1" applyBorder="1" applyAlignment="1">
      <alignment/>
    </xf>
    <xf numFmtId="189" fontId="5" fillId="0" borderId="57" xfId="55" applyNumberFormat="1" applyFont="1" applyBorder="1" applyAlignment="1">
      <alignment/>
    </xf>
    <xf numFmtId="189" fontId="5" fillId="0" borderId="23" xfId="55" applyNumberFormat="1" applyFont="1" applyBorder="1" applyAlignment="1">
      <alignment/>
    </xf>
    <xf numFmtId="189" fontId="5" fillId="0" borderId="0" xfId="0" applyNumberFormat="1" applyFont="1" applyBorder="1" applyAlignment="1">
      <alignment/>
    </xf>
    <xf numFmtId="189" fontId="5" fillId="0" borderId="58" xfId="55" applyNumberFormat="1" applyFont="1" applyBorder="1" applyAlignment="1">
      <alignment horizontal="left"/>
    </xf>
    <xf numFmtId="189" fontId="6" fillId="0" borderId="59" xfId="55" applyNumberFormat="1" applyFont="1" applyBorder="1" applyAlignment="1">
      <alignment/>
    </xf>
    <xf numFmtId="9" fontId="6" fillId="0" borderId="60" xfId="55" applyNumberFormat="1" applyFont="1" applyBorder="1" applyAlignment="1">
      <alignment/>
    </xf>
    <xf numFmtId="15" fontId="6" fillId="0" borderId="61" xfId="55" applyNumberFormat="1" applyFont="1" applyBorder="1" applyAlignment="1">
      <alignment/>
    </xf>
    <xf numFmtId="189" fontId="6" fillId="0" borderId="61" xfId="55" applyNumberFormat="1" applyFont="1" applyBorder="1" applyAlignment="1">
      <alignment/>
    </xf>
    <xf numFmtId="189" fontId="6" fillId="0" borderId="62" xfId="55" applyNumberFormat="1" applyFont="1" applyBorder="1" applyAlignment="1">
      <alignment/>
    </xf>
    <xf numFmtId="15" fontId="6" fillId="0" borderId="10" xfId="55" applyNumberFormat="1" applyFont="1" applyBorder="1" applyAlignment="1">
      <alignment/>
    </xf>
    <xf numFmtId="189" fontId="6" fillId="0" borderId="53" xfId="55" applyNumberFormat="1" applyFont="1" applyBorder="1" applyAlignment="1">
      <alignment horizontal="left"/>
    </xf>
    <xf numFmtId="189" fontId="6" fillId="0" borderId="54" xfId="55" applyNumberFormat="1" applyFont="1" applyBorder="1" applyAlignment="1">
      <alignment/>
    </xf>
    <xf numFmtId="9" fontId="6" fillId="0" borderId="55" xfId="55" applyNumberFormat="1" applyFont="1" applyBorder="1" applyAlignment="1">
      <alignment/>
    </xf>
    <xf numFmtId="15" fontId="5" fillId="0" borderId="56" xfId="55" applyNumberFormat="1" applyFont="1" applyBorder="1" applyAlignment="1">
      <alignment/>
    </xf>
    <xf numFmtId="189" fontId="6" fillId="0" borderId="56" xfId="55" applyNumberFormat="1" applyFont="1" applyBorder="1" applyAlignment="1">
      <alignment/>
    </xf>
    <xf numFmtId="189" fontId="6" fillId="0" borderId="57" xfId="55" applyNumberFormat="1" applyFont="1" applyBorder="1" applyAlignment="1">
      <alignment/>
    </xf>
    <xf numFmtId="189" fontId="6" fillId="0" borderId="45" xfId="55" applyNumberFormat="1" applyFont="1" applyBorder="1" applyAlignment="1">
      <alignment horizontal="left"/>
    </xf>
    <xf numFmtId="189" fontId="6" fillId="0" borderId="46" xfId="55" applyNumberFormat="1" applyFont="1" applyBorder="1" applyAlignment="1">
      <alignment/>
    </xf>
    <xf numFmtId="9" fontId="6" fillId="0" borderId="47" xfId="55" applyNumberFormat="1" applyFont="1" applyBorder="1" applyAlignment="1">
      <alignment/>
    </xf>
    <xf numFmtId="15" fontId="5" fillId="0" borderId="48" xfId="55" applyNumberFormat="1" applyFont="1" applyBorder="1" applyAlignment="1">
      <alignment/>
    </xf>
    <xf numFmtId="189" fontId="6" fillId="0" borderId="48" xfId="55" applyNumberFormat="1" applyFont="1" applyBorder="1" applyAlignment="1">
      <alignment/>
    </xf>
    <xf numFmtId="189" fontId="6" fillId="0" borderId="49" xfId="55" applyNumberFormat="1" applyFont="1" applyBorder="1" applyAlignment="1">
      <alignment/>
    </xf>
    <xf numFmtId="189" fontId="6" fillId="0" borderId="45" xfId="0" applyNumberFormat="1" applyFont="1" applyBorder="1" applyAlignment="1">
      <alignment/>
    </xf>
    <xf numFmtId="189" fontId="5" fillId="0" borderId="20" xfId="55" applyNumberFormat="1" applyFont="1" applyBorder="1" applyAlignment="1">
      <alignment horizontal="left"/>
    </xf>
    <xf numFmtId="189" fontId="5" fillId="0" borderId="0" xfId="55" applyNumberFormat="1" applyFont="1" applyBorder="1" applyAlignment="1">
      <alignment/>
    </xf>
    <xf numFmtId="189" fontId="5" fillId="0" borderId="39" xfId="55" applyNumberFormat="1" applyFont="1" applyBorder="1" applyAlignment="1">
      <alignment/>
    </xf>
    <xf numFmtId="15" fontId="6" fillId="0" borderId="40" xfId="55" applyNumberFormat="1" applyFont="1" applyBorder="1" applyAlignment="1">
      <alignment/>
    </xf>
    <xf numFmtId="189" fontId="5" fillId="0" borderId="40" xfId="55" applyNumberFormat="1" applyFont="1" applyBorder="1" applyAlignment="1">
      <alignment/>
    </xf>
    <xf numFmtId="189" fontId="5" fillId="0" borderId="63" xfId="55" applyNumberFormat="1" applyFont="1" applyBorder="1" applyAlignment="1">
      <alignment/>
    </xf>
    <xf numFmtId="189" fontId="5" fillId="0" borderId="26" xfId="55" applyNumberFormat="1" applyFont="1" applyBorder="1" applyAlignment="1">
      <alignment/>
    </xf>
    <xf numFmtId="189" fontId="5" fillId="0" borderId="32" xfId="55" applyNumberFormat="1" applyFont="1" applyBorder="1" applyAlignment="1">
      <alignment/>
    </xf>
    <xf numFmtId="0" fontId="5" fillId="0" borderId="24" xfId="0" applyFont="1" applyBorder="1" applyAlignment="1">
      <alignment/>
    </xf>
    <xf numFmtId="189" fontId="5" fillId="0" borderId="25" xfId="55" applyNumberFormat="1" applyFont="1" applyBorder="1" applyAlignment="1">
      <alignment/>
    </xf>
    <xf numFmtId="189" fontId="5" fillId="0" borderId="27" xfId="55" applyNumberFormat="1" applyFont="1" applyBorder="1" applyAlignment="1">
      <alignment/>
    </xf>
    <xf numFmtId="15" fontId="5" fillId="0" borderId="27" xfId="55" applyNumberFormat="1" applyFont="1" applyBorder="1" applyAlignment="1">
      <alignment/>
    </xf>
    <xf numFmtId="189" fontId="5" fillId="0" borderId="64" xfId="55" applyNumberFormat="1" applyFont="1" applyBorder="1" applyAlignment="1">
      <alignment/>
    </xf>
    <xf numFmtId="189" fontId="5" fillId="0" borderId="26" xfId="0" applyNumberFormat="1" applyFont="1" applyBorder="1" applyAlignment="1">
      <alignment/>
    </xf>
    <xf numFmtId="0" fontId="4" fillId="0" borderId="0" xfId="0" applyFont="1" applyAlignment="1">
      <alignment horizontal="centerContinuous"/>
    </xf>
    <xf numFmtId="0" fontId="7" fillId="0" borderId="65" xfId="0" applyFont="1" applyBorder="1" applyAlignment="1">
      <alignment horizontal="center" vertical="center"/>
    </xf>
    <xf numFmtId="189" fontId="6" fillId="0" borderId="23" xfId="55" applyNumberFormat="1" applyFont="1" applyFill="1" applyBorder="1" applyAlignment="1">
      <alignment horizontal="left"/>
    </xf>
    <xf numFmtId="189" fontId="6" fillId="0" borderId="24" xfId="55" applyNumberFormat="1" applyFont="1" applyFill="1" applyBorder="1" applyAlignment="1">
      <alignment/>
    </xf>
    <xf numFmtId="0" fontId="5" fillId="0" borderId="36" xfId="0" applyFont="1" applyBorder="1" applyAlignment="1">
      <alignment horizontal="center"/>
    </xf>
    <xf numFmtId="0" fontId="5" fillId="0" borderId="38" xfId="0" applyFont="1" applyBorder="1" applyAlignment="1">
      <alignment/>
    </xf>
    <xf numFmtId="189" fontId="6" fillId="0" borderId="66" xfId="55" applyNumberFormat="1" applyFont="1" applyFill="1" applyBorder="1" applyAlignment="1">
      <alignment/>
    </xf>
    <xf numFmtId="189" fontId="6" fillId="0" borderId="36" xfId="55" applyNumberFormat="1" applyFont="1" applyFill="1" applyBorder="1" applyAlignment="1">
      <alignment/>
    </xf>
    <xf numFmtId="189" fontId="6" fillId="0" borderId="38" xfId="55" applyNumberFormat="1" applyFont="1" applyFill="1" applyBorder="1" applyAlignment="1">
      <alignment/>
    </xf>
    <xf numFmtId="189" fontId="6" fillId="0" borderId="64" xfId="55" applyNumberFormat="1" applyFont="1" applyFill="1" applyBorder="1" applyAlignment="1">
      <alignment/>
    </xf>
    <xf numFmtId="189" fontId="6" fillId="0" borderId="0" xfId="55" applyNumberFormat="1" applyFont="1" applyFill="1" applyBorder="1" applyAlignment="1">
      <alignment/>
    </xf>
    <xf numFmtId="189" fontId="5" fillId="32" borderId="64" xfId="55" applyNumberFormat="1" applyFont="1" applyFill="1" applyBorder="1" applyAlignment="1">
      <alignment/>
    </xf>
    <xf numFmtId="3" fontId="6" fillId="0" borderId="66" xfId="0" applyNumberFormat="1" applyFont="1" applyFill="1" applyBorder="1" applyAlignment="1">
      <alignment horizontal="right"/>
    </xf>
    <xf numFmtId="3" fontId="6" fillId="0" borderId="66" xfId="55" applyNumberFormat="1" applyFont="1" applyFill="1" applyBorder="1" applyAlignment="1">
      <alignment horizontal="right"/>
    </xf>
    <xf numFmtId="3" fontId="6" fillId="0" borderId="66" xfId="49" applyNumberFormat="1" applyFont="1" applyFill="1" applyBorder="1" applyAlignment="1">
      <alignment horizontal="right"/>
    </xf>
    <xf numFmtId="189" fontId="6" fillId="32" borderId="27" xfId="0" applyNumberFormat="1" applyFont="1" applyFill="1" applyBorder="1" applyAlignment="1">
      <alignment/>
    </xf>
    <xf numFmtId="189" fontId="6" fillId="0" borderId="19" xfId="55" applyNumberFormat="1" applyFont="1" applyFill="1" applyBorder="1" applyAlignment="1">
      <alignment/>
    </xf>
    <xf numFmtId="189" fontId="6" fillId="0" borderId="20" xfId="55" applyNumberFormat="1" applyFont="1" applyFill="1" applyBorder="1" applyAlignment="1">
      <alignment/>
    </xf>
    <xf numFmtId="189" fontId="6" fillId="0" borderId="67" xfId="55" applyNumberFormat="1" applyFont="1" applyFill="1" applyBorder="1" applyAlignment="1">
      <alignment horizontal="left"/>
    </xf>
    <xf numFmtId="0" fontId="5" fillId="0" borderId="30" xfId="0" applyFont="1" applyBorder="1" applyAlignment="1">
      <alignment horizontal="center"/>
    </xf>
    <xf numFmtId="0" fontId="6" fillId="0" borderId="68" xfId="0" applyFont="1" applyFill="1" applyBorder="1" applyAlignment="1">
      <alignment horizontal="left"/>
    </xf>
    <xf numFmtId="0" fontId="6" fillId="0" borderId="69" xfId="0" applyFont="1" applyFill="1" applyBorder="1" applyAlignment="1">
      <alignment horizontal="left"/>
    </xf>
    <xf numFmtId="189" fontId="6" fillId="0" borderId="70" xfId="55" applyNumberFormat="1" applyFont="1" applyFill="1" applyBorder="1" applyAlignment="1">
      <alignment horizontal="left"/>
    </xf>
    <xf numFmtId="189" fontId="6" fillId="0" borderId="69" xfId="55" applyNumberFormat="1" applyFont="1" applyFill="1" applyBorder="1" applyAlignment="1">
      <alignment horizontal="left"/>
    </xf>
    <xf numFmtId="189" fontId="6" fillId="0" borderId="68" xfId="55" applyNumberFormat="1" applyFont="1" applyFill="1" applyBorder="1" applyAlignment="1">
      <alignment horizontal="left"/>
    </xf>
    <xf numFmtId="189" fontId="6" fillId="0" borderId="71" xfId="55" applyNumberFormat="1" applyFont="1" applyFill="1" applyBorder="1" applyAlignment="1">
      <alignment horizontal="left"/>
    </xf>
    <xf numFmtId="189" fontId="6" fillId="0" borderId="25" xfId="55" applyNumberFormat="1" applyFont="1" applyFill="1" applyBorder="1" applyAlignment="1">
      <alignment horizontal="left"/>
    </xf>
    <xf numFmtId="0" fontId="6" fillId="0" borderId="72" xfId="0" applyFont="1" applyFill="1" applyBorder="1" applyAlignment="1">
      <alignment horizontal="right"/>
    </xf>
    <xf numFmtId="0" fontId="6" fillId="0" borderId="41" xfId="0" applyFont="1" applyFill="1" applyBorder="1" applyAlignment="1">
      <alignment horizontal="right"/>
    </xf>
    <xf numFmtId="189" fontId="6" fillId="0" borderId="41" xfId="55" applyNumberFormat="1" applyFont="1" applyFill="1" applyBorder="1" applyAlignment="1">
      <alignment/>
    </xf>
    <xf numFmtId="189" fontId="6" fillId="0" borderId="72" xfId="55" applyNumberFormat="1" applyFont="1" applyFill="1" applyBorder="1" applyAlignment="1">
      <alignment/>
    </xf>
    <xf numFmtId="189" fontId="6" fillId="0" borderId="53" xfId="55" applyNumberFormat="1" applyFont="1" applyFill="1" applyBorder="1" applyAlignment="1">
      <alignment/>
    </xf>
    <xf numFmtId="189" fontId="6" fillId="0" borderId="58" xfId="55" applyNumberFormat="1" applyFont="1" applyFill="1" applyBorder="1" applyAlignment="1">
      <alignment/>
    </xf>
    <xf numFmtId="189" fontId="6" fillId="0" borderId="45" xfId="55" applyNumberFormat="1" applyFont="1" applyFill="1" applyBorder="1" applyAlignment="1">
      <alignment/>
    </xf>
    <xf numFmtId="189" fontId="6" fillId="0" borderId="26" xfId="55" applyNumberFormat="1" applyFont="1" applyFill="1" applyBorder="1" applyAlignment="1">
      <alignment/>
    </xf>
    <xf numFmtId="3" fontId="6" fillId="32" borderId="26" xfId="0" applyNumberFormat="1" applyFont="1" applyFill="1" applyBorder="1" applyAlignment="1">
      <alignment/>
    </xf>
    <xf numFmtId="189" fontId="6" fillId="32" borderId="64" xfId="0" applyNumberFormat="1" applyFont="1" applyFill="1" applyBorder="1" applyAlignment="1">
      <alignment/>
    </xf>
    <xf numFmtId="3" fontId="6" fillId="0" borderId="29" xfId="0" applyNumberFormat="1" applyFont="1" applyBorder="1" applyAlignment="1">
      <alignment/>
    </xf>
    <xf numFmtId="192" fontId="5" fillId="0" borderId="20" xfId="0" applyNumberFormat="1" applyFont="1" applyBorder="1" applyAlignment="1">
      <alignment horizontal="center"/>
    </xf>
    <xf numFmtId="189" fontId="6" fillId="0" borderId="30" xfId="55" applyNumberFormat="1" applyFont="1" applyBorder="1" applyAlignment="1">
      <alignment/>
    </xf>
    <xf numFmtId="189" fontId="6" fillId="0" borderId="29" xfId="55" applyNumberFormat="1" applyFont="1" applyBorder="1" applyAlignment="1">
      <alignment/>
    </xf>
    <xf numFmtId="189" fontId="6" fillId="0" borderId="23" xfId="55" applyNumberFormat="1" applyFont="1" applyBorder="1" applyAlignment="1">
      <alignment/>
    </xf>
    <xf numFmtId="189" fontId="12" fillId="0" borderId="0" xfId="55" applyNumberFormat="1" applyFont="1" applyAlignment="1">
      <alignment/>
    </xf>
    <xf numFmtId="0" fontId="18" fillId="0" borderId="73" xfId="0" applyFont="1" applyBorder="1" applyAlignment="1">
      <alignment/>
    </xf>
    <xf numFmtId="0" fontId="18" fillId="0" borderId="74" xfId="0" applyFont="1" applyBorder="1" applyAlignment="1">
      <alignment/>
    </xf>
    <xf numFmtId="0" fontId="6" fillId="0" borderId="0" xfId="0" applyFont="1" applyBorder="1" applyAlignment="1">
      <alignment horizontal="centerContinuous"/>
    </xf>
    <xf numFmtId="0" fontId="5" fillId="0" borderId="75" xfId="0" applyFont="1" applyBorder="1" applyAlignment="1">
      <alignment horizontal="center" vertical="center"/>
    </xf>
    <xf numFmtId="0" fontId="5" fillId="0" borderId="76" xfId="0" applyFont="1" applyBorder="1" applyAlignment="1">
      <alignment horizontal="center" vertical="center" wrapText="1"/>
    </xf>
    <xf numFmtId="171" fontId="1" fillId="0" borderId="0" xfId="49" applyFont="1" applyAlignment="1">
      <alignment/>
    </xf>
    <xf numFmtId="37" fontId="7" fillId="0" borderId="73" xfId="0" applyNumberFormat="1" applyFont="1" applyBorder="1" applyAlignment="1" quotePrefix="1">
      <alignment horizontal="left"/>
    </xf>
    <xf numFmtId="3" fontId="6" fillId="0" borderId="10" xfId="0" applyNumberFormat="1" applyFont="1" applyFill="1" applyBorder="1" applyAlignment="1" applyProtection="1">
      <alignment/>
      <protection locked="0"/>
    </xf>
    <xf numFmtId="187" fontId="6" fillId="0" borderId="10" xfId="49" applyNumberFormat="1" applyFont="1" applyFill="1" applyBorder="1" applyAlignment="1" applyProtection="1">
      <alignment/>
      <protection locked="0"/>
    </xf>
    <xf numFmtId="187" fontId="5" fillId="0" borderId="10" xfId="49" applyNumberFormat="1" applyFont="1" applyFill="1" applyBorder="1" applyAlignment="1" applyProtection="1">
      <alignment/>
      <protection locked="0"/>
    </xf>
    <xf numFmtId="0" fontId="2" fillId="0" borderId="19" xfId="0" applyFont="1" applyBorder="1" applyAlignment="1">
      <alignment horizontal="center"/>
    </xf>
    <xf numFmtId="0" fontId="2" fillId="0" borderId="20" xfId="0" applyFont="1" applyBorder="1" applyAlignment="1">
      <alignment horizontal="center"/>
    </xf>
    <xf numFmtId="3" fontId="5" fillId="0" borderId="76" xfId="0" applyNumberFormat="1" applyFont="1" applyBorder="1" applyAlignment="1" quotePrefix="1">
      <alignment horizontal="center" vertical="center" wrapText="1"/>
    </xf>
    <xf numFmtId="0" fontId="5" fillId="0" borderId="76" xfId="0" applyFont="1" applyBorder="1" applyAlignment="1" quotePrefix="1">
      <alignment horizontal="center" vertical="center" wrapText="1"/>
    </xf>
    <xf numFmtId="0" fontId="7" fillId="0" borderId="0" xfId="0" applyFont="1" applyAlignment="1" applyProtection="1">
      <alignment horizontal="centerContinuous"/>
      <protection/>
    </xf>
    <xf numFmtId="3" fontId="18" fillId="0" borderId="0" xfId="0" applyNumberFormat="1" applyFont="1" applyAlignment="1" applyProtection="1">
      <alignment horizontal="centerContinuous"/>
      <protection/>
    </xf>
    <xf numFmtId="0" fontId="18" fillId="0" borderId="0" xfId="0" applyFont="1" applyAlignment="1" applyProtection="1">
      <alignment horizontal="centerContinuous"/>
      <protection/>
    </xf>
    <xf numFmtId="0" fontId="7" fillId="0" borderId="0" xfId="0" applyFont="1" applyAlignment="1" applyProtection="1">
      <alignment horizontal="centerContinuous" vertical="top"/>
      <protection/>
    </xf>
    <xf numFmtId="3" fontId="18" fillId="0" borderId="0" xfId="0" applyNumberFormat="1" applyFont="1" applyAlignment="1" applyProtection="1">
      <alignment horizontal="centerContinuous" vertical="top"/>
      <protection/>
    </xf>
    <xf numFmtId="0" fontId="18" fillId="0" borderId="0" xfId="0" applyFont="1" applyAlignment="1" applyProtection="1">
      <alignment horizontal="centerContinuous" vertical="top"/>
      <protection/>
    </xf>
    <xf numFmtId="0" fontId="11" fillId="0" borderId="0" xfId="0" applyFont="1" applyAlignment="1" applyProtection="1">
      <alignment vertical="top"/>
      <protection/>
    </xf>
    <xf numFmtId="0" fontId="0" fillId="0" borderId="0" xfId="0" applyFont="1" applyAlignment="1" applyProtection="1">
      <alignment vertical="top"/>
      <protection/>
    </xf>
    <xf numFmtId="0" fontId="0" fillId="0" borderId="0" xfId="0" applyAlignment="1" applyProtection="1">
      <alignment vertical="top"/>
      <protection/>
    </xf>
    <xf numFmtId="0" fontId="18" fillId="0" borderId="64" xfId="0" applyFont="1" applyBorder="1" applyAlignment="1" applyProtection="1">
      <alignment horizontal="centerContinuous"/>
      <protection/>
    </xf>
    <xf numFmtId="0" fontId="7" fillId="0" borderId="28" xfId="0" applyFont="1" applyBorder="1" applyAlignment="1" applyProtection="1">
      <alignment horizontal="center"/>
      <protection/>
    </xf>
    <xf numFmtId="3" fontId="7" fillId="0" borderId="19" xfId="0" applyNumberFormat="1" applyFont="1" applyBorder="1" applyAlignment="1" applyProtection="1">
      <alignment horizontal="center"/>
      <protection/>
    </xf>
    <xf numFmtId="0" fontId="7" fillId="0" borderId="36" xfId="0" applyFont="1" applyBorder="1" applyAlignment="1" applyProtection="1">
      <alignment horizontal="center"/>
      <protection/>
    </xf>
    <xf numFmtId="3" fontId="7" fillId="0" borderId="28" xfId="0" applyNumberFormat="1" applyFont="1" applyBorder="1" applyAlignment="1" applyProtection="1">
      <alignment horizontal="center"/>
      <protection/>
    </xf>
    <xf numFmtId="0" fontId="7" fillId="0" borderId="66" xfId="0" applyFont="1" applyBorder="1" applyAlignment="1" applyProtection="1">
      <alignment horizontal="center"/>
      <protection/>
    </xf>
    <xf numFmtId="0" fontId="7" fillId="0" borderId="20" xfId="0" applyFont="1" applyBorder="1" applyAlignment="1" applyProtection="1">
      <alignment horizontal="center"/>
      <protection/>
    </xf>
    <xf numFmtId="3" fontId="7" fillId="0" borderId="20" xfId="0" applyNumberFormat="1" applyFont="1" applyBorder="1" applyAlignment="1" applyProtection="1">
      <alignment horizontal="center"/>
      <protection/>
    </xf>
    <xf numFmtId="188" fontId="18" fillId="0" borderId="77" xfId="61" applyNumberFormat="1" applyFont="1" applyBorder="1" applyAlignment="1" applyProtection="1">
      <alignment horizontal="right"/>
      <protection/>
    </xf>
    <xf numFmtId="3" fontId="11" fillId="0" borderId="0" xfId="0" applyNumberFormat="1" applyFont="1" applyAlignment="1" applyProtection="1" quotePrefix="1">
      <alignment horizontal="left"/>
      <protection/>
    </xf>
    <xf numFmtId="0" fontId="6" fillId="0" borderId="0" xfId="0" applyFont="1" applyAlignment="1" applyProtection="1">
      <alignment/>
      <protection/>
    </xf>
    <xf numFmtId="0" fontId="5" fillId="0" borderId="78" xfId="0" applyFont="1" applyBorder="1" applyAlignment="1" applyProtection="1">
      <alignment horizontal="center" vertical="center"/>
      <protection/>
    </xf>
    <xf numFmtId="0" fontId="5" fillId="0" borderId="79" xfId="0" applyFont="1" applyFill="1" applyBorder="1" applyAlignment="1" applyProtection="1">
      <alignment horizontal="center" vertical="center" wrapText="1"/>
      <protection/>
    </xf>
    <xf numFmtId="0" fontId="5" fillId="0" borderId="79" xfId="0" applyFont="1" applyBorder="1" applyAlignment="1" applyProtection="1">
      <alignment horizontal="center" vertical="center" wrapText="1"/>
      <protection/>
    </xf>
    <xf numFmtId="0" fontId="5" fillId="0" borderId="80" xfId="0" applyFont="1" applyBorder="1" applyAlignment="1" applyProtection="1">
      <alignment horizontal="center" vertical="center" wrapText="1"/>
      <protection/>
    </xf>
    <xf numFmtId="3" fontId="5" fillId="0" borderId="10" xfId="0" applyNumberFormat="1" applyFont="1" applyFill="1" applyBorder="1" applyAlignment="1" applyProtection="1">
      <alignment/>
      <protection/>
    </xf>
    <xf numFmtId="3" fontId="5" fillId="0" borderId="10" xfId="0" applyNumberFormat="1" applyFont="1" applyBorder="1" applyAlignment="1" applyProtection="1">
      <alignment/>
      <protection/>
    </xf>
    <xf numFmtId="2" fontId="5" fillId="0" borderId="11" xfId="0" applyNumberFormat="1" applyFont="1" applyBorder="1" applyAlignment="1" applyProtection="1">
      <alignment/>
      <protection/>
    </xf>
    <xf numFmtId="3" fontId="6" fillId="0" borderId="10" xfId="0" applyNumberFormat="1" applyFont="1" applyFill="1" applyBorder="1" applyAlignment="1" applyProtection="1">
      <alignment/>
      <protection/>
    </xf>
    <xf numFmtId="3" fontId="6" fillId="0" borderId="10" xfId="0" applyNumberFormat="1" applyFont="1" applyBorder="1" applyAlignment="1" applyProtection="1">
      <alignment/>
      <protection/>
    </xf>
    <xf numFmtId="2" fontId="6" fillId="0" borderId="11" xfId="0" applyNumberFormat="1" applyFont="1" applyBorder="1" applyAlignment="1" applyProtection="1">
      <alignment/>
      <protection/>
    </xf>
    <xf numFmtId="0" fontId="6" fillId="0" borderId="10" xfId="0" applyFont="1" applyFill="1" applyBorder="1" applyAlignment="1" applyProtection="1">
      <alignment/>
      <protection/>
    </xf>
    <xf numFmtId="0" fontId="6" fillId="0" borderId="11" xfId="0" applyFont="1" applyBorder="1" applyAlignment="1" applyProtection="1">
      <alignment/>
      <protection/>
    </xf>
    <xf numFmtId="0" fontId="5" fillId="32" borderId="10" xfId="0" applyFont="1" applyFill="1" applyBorder="1" applyAlignment="1" applyProtection="1">
      <alignment/>
      <protection/>
    </xf>
    <xf numFmtId="3" fontId="5" fillId="32" borderId="10" xfId="0" applyNumberFormat="1" applyFont="1" applyFill="1" applyBorder="1" applyAlignment="1" applyProtection="1">
      <alignment/>
      <protection/>
    </xf>
    <xf numFmtId="2" fontId="5" fillId="32" borderId="11" xfId="0" applyNumberFormat="1" applyFont="1" applyFill="1" applyBorder="1" applyAlignment="1" applyProtection="1">
      <alignment/>
      <protection/>
    </xf>
    <xf numFmtId="0" fontId="6" fillId="0" borderId="10" xfId="0" applyFont="1" applyBorder="1" applyAlignment="1" applyProtection="1">
      <alignment/>
      <protection/>
    </xf>
    <xf numFmtId="2" fontId="6" fillId="0" borderId="0" xfId="0" applyNumberFormat="1" applyFont="1" applyAlignment="1" applyProtection="1">
      <alignment/>
      <protection/>
    </xf>
    <xf numFmtId="37" fontId="5" fillId="0" borderId="10" xfId="0" applyNumberFormat="1" applyFont="1" applyFill="1" applyBorder="1" applyAlignment="1" applyProtection="1">
      <alignment/>
      <protection/>
    </xf>
    <xf numFmtId="187" fontId="6" fillId="0" borderId="10" xfId="49" applyNumberFormat="1" applyFont="1" applyFill="1" applyBorder="1" applyAlignment="1" applyProtection="1">
      <alignment/>
      <protection/>
    </xf>
    <xf numFmtId="187" fontId="5" fillId="0" borderId="10" xfId="49" applyNumberFormat="1" applyFont="1" applyFill="1" applyBorder="1" applyAlignment="1" applyProtection="1">
      <alignment/>
      <protection/>
    </xf>
    <xf numFmtId="37" fontId="6" fillId="0" borderId="10" xfId="0" applyNumberFormat="1" applyFont="1" applyFill="1" applyBorder="1" applyAlignment="1" applyProtection="1">
      <alignment/>
      <protection/>
    </xf>
    <xf numFmtId="187" fontId="6" fillId="0" borderId="10" xfId="49" applyNumberFormat="1" applyFont="1" applyFill="1" applyBorder="1" applyAlignment="1" applyProtection="1">
      <alignment horizontal="left"/>
      <protection/>
    </xf>
    <xf numFmtId="187" fontId="6" fillId="0" borderId="0" xfId="49" applyNumberFormat="1" applyFont="1" applyAlignment="1" applyProtection="1">
      <alignment/>
      <protection/>
    </xf>
    <xf numFmtId="37" fontId="5" fillId="0" borderId="10" xfId="0" applyNumberFormat="1" applyFont="1" applyFill="1" applyBorder="1" applyAlignment="1" applyProtection="1">
      <alignment vertical="top" wrapText="1"/>
      <protection/>
    </xf>
    <xf numFmtId="37" fontId="6" fillId="0" borderId="10" xfId="0" applyNumberFormat="1" applyFont="1" applyFill="1" applyBorder="1" applyAlignment="1" applyProtection="1">
      <alignment vertical="top" wrapText="1"/>
      <protection/>
    </xf>
    <xf numFmtId="4" fontId="6" fillId="0" borderId="11" xfId="0" applyNumberFormat="1" applyFont="1" applyBorder="1" applyAlignment="1" applyProtection="1">
      <alignment/>
      <protection/>
    </xf>
    <xf numFmtId="171" fontId="5" fillId="0" borderId="10" xfId="49" applyFont="1" applyFill="1" applyBorder="1" applyAlignment="1" applyProtection="1">
      <alignment/>
      <protection/>
    </xf>
    <xf numFmtId="0" fontId="6" fillId="0" borderId="39" xfId="0" applyFont="1" applyBorder="1" applyAlignment="1" applyProtection="1">
      <alignment/>
      <protection/>
    </xf>
    <xf numFmtId="0" fontId="6" fillId="0" borderId="12" xfId="0" applyFont="1" applyBorder="1" applyAlignment="1" applyProtection="1">
      <alignment/>
      <protection/>
    </xf>
    <xf numFmtId="0" fontId="6" fillId="0" borderId="14" xfId="0" applyFont="1" applyFill="1" applyBorder="1" applyAlignment="1" applyProtection="1">
      <alignment/>
      <protection/>
    </xf>
    <xf numFmtId="0" fontId="6" fillId="0" borderId="15" xfId="0" applyFont="1" applyBorder="1" applyAlignment="1" applyProtection="1">
      <alignment/>
      <protection/>
    </xf>
    <xf numFmtId="3" fontId="6" fillId="0" borderId="16" xfId="0" applyNumberFormat="1" applyFont="1" applyBorder="1" applyAlignment="1" applyProtection="1">
      <alignment/>
      <protection/>
    </xf>
    <xf numFmtId="0" fontId="6" fillId="0" borderId="0" xfId="0" applyFont="1" applyFill="1" applyAlignment="1" applyProtection="1">
      <alignment/>
      <protection/>
    </xf>
    <xf numFmtId="171" fontId="6" fillId="0" borderId="0" xfId="49" applyFont="1" applyAlignment="1" applyProtection="1">
      <alignment/>
      <protection/>
    </xf>
    <xf numFmtId="0" fontId="5" fillId="0" borderId="20" xfId="0" applyFont="1" applyBorder="1" applyAlignment="1">
      <alignment horizontal="centerContinuous"/>
    </xf>
    <xf numFmtId="9" fontId="5" fillId="0" borderId="20" xfId="0" applyNumberFormat="1" applyFont="1" applyBorder="1" applyAlignment="1">
      <alignment/>
    </xf>
    <xf numFmtId="3" fontId="6" fillId="32" borderId="64" xfId="0" applyNumberFormat="1" applyFont="1" applyFill="1" applyBorder="1" applyAlignment="1">
      <alignment/>
    </xf>
    <xf numFmtId="0" fontId="3" fillId="0" borderId="0" xfId="0" applyFont="1" applyAlignment="1">
      <alignment horizontal="centerContinuous"/>
    </xf>
    <xf numFmtId="0" fontId="14" fillId="0" borderId="19" xfId="0" applyFont="1" applyBorder="1" applyAlignment="1" quotePrefix="1">
      <alignment horizontal="center"/>
    </xf>
    <xf numFmtId="0" fontId="5" fillId="0" borderId="20" xfId="0" applyFont="1" applyBorder="1" applyAlignment="1" quotePrefix="1">
      <alignment horizontal="center"/>
    </xf>
    <xf numFmtId="0" fontId="5" fillId="0" borderId="19" xfId="0" applyFont="1" applyBorder="1" applyAlignment="1" quotePrefix="1">
      <alignment horizontal="center"/>
    </xf>
    <xf numFmtId="188" fontId="6" fillId="0" borderId="10" xfId="61" applyNumberFormat="1" applyFont="1" applyFill="1" applyBorder="1" applyAlignment="1">
      <alignment/>
    </xf>
    <xf numFmtId="188" fontId="5" fillId="0" borderId="10" xfId="61" applyNumberFormat="1" applyFont="1" applyFill="1" applyBorder="1" applyAlignment="1">
      <alignment/>
    </xf>
    <xf numFmtId="3" fontId="7" fillId="0" borderId="25" xfId="0" applyNumberFormat="1" applyFont="1" applyBorder="1" applyAlignment="1" applyProtection="1">
      <alignment horizontal="center"/>
      <protection/>
    </xf>
    <xf numFmtId="3" fontId="7" fillId="0" borderId="27" xfId="0" applyNumberFormat="1" applyFont="1" applyBorder="1" applyAlignment="1" applyProtection="1">
      <alignment horizontal="center"/>
      <protection/>
    </xf>
    <xf numFmtId="3" fontId="7" fillId="0" borderId="64" xfId="0" applyNumberFormat="1" applyFont="1" applyBorder="1" applyAlignment="1" applyProtection="1">
      <alignment horizontal="center"/>
      <protection/>
    </xf>
    <xf numFmtId="0" fontId="11"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18" fillId="0" borderId="19" xfId="0" applyFont="1" applyBorder="1" applyAlignment="1" applyProtection="1">
      <alignment/>
      <protection/>
    </xf>
    <xf numFmtId="0" fontId="7" fillId="0" borderId="81" xfId="0" applyFont="1" applyBorder="1" applyAlignment="1" applyProtection="1">
      <alignment/>
      <protection/>
    </xf>
    <xf numFmtId="3" fontId="7" fillId="0" borderId="82" xfId="0" applyNumberFormat="1" applyFont="1" applyBorder="1" applyAlignment="1" applyProtection="1">
      <alignment/>
      <protection/>
    </xf>
    <xf numFmtId="188" fontId="7" fillId="0" borderId="83" xfId="61" applyNumberFormat="1" applyFont="1" applyBorder="1" applyAlignment="1" applyProtection="1">
      <alignment/>
      <protection/>
    </xf>
    <xf numFmtId="3" fontId="11" fillId="0" borderId="0" xfId="0" applyNumberFormat="1" applyFont="1" applyAlignment="1" applyProtection="1">
      <alignment/>
      <protection/>
    </xf>
    <xf numFmtId="0" fontId="18" fillId="0" borderId="73" xfId="0" applyFont="1" applyBorder="1" applyAlignment="1" applyProtection="1">
      <alignment/>
      <protection/>
    </xf>
    <xf numFmtId="3" fontId="18" fillId="0" borderId="84" xfId="0" applyNumberFormat="1" applyFont="1" applyBorder="1" applyAlignment="1" applyProtection="1">
      <alignment/>
      <protection/>
    </xf>
    <xf numFmtId="188" fontId="18" fillId="0" borderId="77" xfId="61" applyNumberFormat="1" applyFont="1" applyBorder="1" applyAlignment="1" applyProtection="1">
      <alignment/>
      <protection/>
    </xf>
    <xf numFmtId="0" fontId="18" fillId="0" borderId="77" xfId="0" applyFont="1" applyBorder="1" applyAlignment="1" applyProtection="1">
      <alignment/>
      <protection/>
    </xf>
    <xf numFmtId="0" fontId="7" fillId="0" borderId="73" xfId="0" applyFont="1" applyBorder="1" applyAlignment="1" applyProtection="1">
      <alignment/>
      <protection/>
    </xf>
    <xf numFmtId="3" fontId="7" fillId="0" borderId="84" xfId="0" applyNumberFormat="1" applyFont="1" applyBorder="1" applyAlignment="1" applyProtection="1">
      <alignment/>
      <protection/>
    </xf>
    <xf numFmtId="188" fontId="7" fillId="0" borderId="77" xfId="61" applyNumberFormat="1" applyFont="1" applyBorder="1" applyAlignment="1" applyProtection="1">
      <alignment/>
      <protection/>
    </xf>
    <xf numFmtId="37" fontId="7" fillId="0" borderId="73" xfId="0" applyNumberFormat="1" applyFont="1" applyBorder="1" applyAlignment="1" applyProtection="1">
      <alignment/>
      <protection/>
    </xf>
    <xf numFmtId="37" fontId="7" fillId="0" borderId="84" xfId="49" applyNumberFormat="1" applyFont="1" applyBorder="1" applyAlignment="1" applyProtection="1">
      <alignment/>
      <protection/>
    </xf>
    <xf numFmtId="37" fontId="18" fillId="0" borderId="73" xfId="0" applyNumberFormat="1" applyFont="1" applyBorder="1" applyAlignment="1" applyProtection="1">
      <alignment/>
      <protection/>
    </xf>
    <xf numFmtId="37" fontId="18" fillId="0" borderId="84" xfId="49" applyNumberFormat="1" applyFont="1" applyFill="1" applyBorder="1" applyAlignment="1" applyProtection="1">
      <alignment/>
      <protection/>
    </xf>
    <xf numFmtId="37" fontId="7" fillId="0" borderId="84" xfId="49" applyNumberFormat="1" applyFont="1" applyFill="1" applyBorder="1" applyAlignment="1" applyProtection="1">
      <alignment/>
      <protection/>
    </xf>
    <xf numFmtId="37" fontId="18" fillId="0" borderId="84" xfId="49" applyNumberFormat="1" applyFont="1" applyBorder="1" applyAlignment="1" applyProtection="1">
      <alignment/>
      <protection/>
    </xf>
    <xf numFmtId="3" fontId="18" fillId="0" borderId="84" xfId="0" applyNumberFormat="1" applyFont="1" applyFill="1" applyBorder="1" applyAlignment="1" applyProtection="1">
      <alignment/>
      <protection/>
    </xf>
    <xf numFmtId="188" fontId="18" fillId="0" borderId="77" xfId="61" applyNumberFormat="1" applyFont="1" applyFill="1" applyBorder="1" applyAlignment="1" applyProtection="1">
      <alignment/>
      <protection/>
    </xf>
    <xf numFmtId="0" fontId="18" fillId="0" borderId="85" xfId="0" applyFont="1" applyBorder="1" applyAlignment="1" applyProtection="1">
      <alignment/>
      <protection/>
    </xf>
    <xf numFmtId="3" fontId="18" fillId="0" borderId="21" xfId="0" applyNumberFormat="1" applyFont="1" applyBorder="1" applyAlignment="1" applyProtection="1">
      <alignment/>
      <protection/>
    </xf>
    <xf numFmtId="0" fontId="18" fillId="0" borderId="86" xfId="0" applyFont="1" applyBorder="1" applyAlignment="1" applyProtection="1">
      <alignment/>
      <protection/>
    </xf>
    <xf numFmtId="0" fontId="7" fillId="33" borderId="85" xfId="0" applyFont="1" applyFill="1" applyBorder="1" applyAlignment="1" applyProtection="1">
      <alignment/>
      <protection/>
    </xf>
    <xf numFmtId="3" fontId="7" fillId="33" borderId="21" xfId="0" applyNumberFormat="1" applyFont="1" applyFill="1" applyBorder="1" applyAlignment="1" applyProtection="1">
      <alignment/>
      <protection/>
    </xf>
    <xf numFmtId="188" fontId="7" fillId="33" borderId="86" xfId="61" applyNumberFormat="1" applyFont="1" applyFill="1" applyBorder="1" applyAlignment="1" applyProtection="1">
      <alignment/>
      <protection/>
    </xf>
    <xf numFmtId="0" fontId="18" fillId="0" borderId="87" xfId="0" applyFont="1" applyBorder="1" applyAlignment="1" applyProtection="1">
      <alignment/>
      <protection/>
    </xf>
    <xf numFmtId="3" fontId="18" fillId="0" borderId="56" xfId="0" applyNumberFormat="1" applyFont="1" applyBorder="1" applyAlignment="1" applyProtection="1">
      <alignment/>
      <protection/>
    </xf>
    <xf numFmtId="0" fontId="18" fillId="0" borderId="88" xfId="0" applyFont="1" applyBorder="1" applyAlignment="1" applyProtection="1">
      <alignment/>
      <protection/>
    </xf>
    <xf numFmtId="0" fontId="18" fillId="0" borderId="74" xfId="0" applyFont="1" applyBorder="1" applyAlignment="1" applyProtection="1">
      <alignment/>
      <protection/>
    </xf>
    <xf numFmtId="3" fontId="18" fillId="0" borderId="40" xfId="0" applyNumberFormat="1" applyFont="1" applyBorder="1" applyAlignment="1" applyProtection="1">
      <alignment/>
      <protection/>
    </xf>
    <xf numFmtId="37" fontId="18" fillId="0" borderId="40" xfId="49" applyNumberFormat="1" applyFont="1" applyBorder="1" applyAlignment="1" applyProtection="1">
      <alignment/>
      <protection/>
    </xf>
    <xf numFmtId="188" fontId="18" fillId="0" borderId="89" xfId="61" applyNumberFormat="1" applyFont="1" applyBorder="1" applyAlignment="1" applyProtection="1">
      <alignment/>
      <protection/>
    </xf>
    <xf numFmtId="0" fontId="7" fillId="33" borderId="31" xfId="0" applyFont="1" applyFill="1" applyBorder="1" applyAlignment="1" applyProtection="1">
      <alignment/>
      <protection/>
    </xf>
    <xf numFmtId="3" fontId="7" fillId="33" borderId="90" xfId="0" applyNumberFormat="1" applyFont="1" applyFill="1" applyBorder="1" applyAlignment="1" applyProtection="1">
      <alignment/>
      <protection/>
    </xf>
    <xf numFmtId="188" fontId="7" fillId="33" borderId="32" xfId="61" applyNumberFormat="1" applyFont="1" applyFill="1" applyBorder="1" applyAlignment="1" applyProtection="1">
      <alignment/>
      <protection/>
    </xf>
    <xf numFmtId="0" fontId="15" fillId="0" borderId="0" xfId="0" applyFont="1" applyAlignment="1" applyProtection="1">
      <alignment/>
      <protection/>
    </xf>
    <xf numFmtId="3" fontId="15" fillId="0" borderId="0" xfId="0" applyNumberFormat="1" applyFont="1" applyAlignment="1" applyProtection="1">
      <alignment/>
      <protection/>
    </xf>
    <xf numFmtId="3" fontId="11" fillId="0" borderId="0" xfId="0" applyNumberFormat="1" applyFont="1" applyAlignment="1" applyProtection="1">
      <alignment/>
      <protection/>
    </xf>
    <xf numFmtId="3" fontId="10" fillId="0" borderId="0" xfId="0" applyNumberFormat="1" applyFont="1" applyAlignment="1" applyProtection="1">
      <alignment/>
      <protection/>
    </xf>
    <xf numFmtId="3" fontId="11" fillId="18" borderId="0" xfId="0" applyNumberFormat="1" applyFont="1" applyFill="1" applyAlignment="1" applyProtection="1">
      <alignment/>
      <protection/>
    </xf>
    <xf numFmtId="3" fontId="11" fillId="0" borderId="0" xfId="0" applyNumberFormat="1" applyFont="1" applyBorder="1" applyAlignment="1" applyProtection="1">
      <alignment/>
      <protection/>
    </xf>
    <xf numFmtId="3" fontId="11" fillId="0" borderId="50" xfId="0" applyNumberFormat="1" applyFont="1" applyBorder="1" applyAlignment="1" applyProtection="1">
      <alignment/>
      <protection/>
    </xf>
    <xf numFmtId="3" fontId="0" fillId="0" borderId="0" xfId="0" applyNumberFormat="1" applyFont="1" applyAlignment="1" applyProtection="1">
      <alignment/>
      <protection/>
    </xf>
    <xf numFmtId="0" fontId="17" fillId="0" borderId="0" xfId="0" applyFont="1" applyAlignment="1" applyProtection="1">
      <alignment/>
      <protection/>
    </xf>
    <xf numFmtId="3" fontId="17" fillId="0" borderId="0" xfId="0" applyNumberFormat="1" applyFont="1" applyAlignment="1" applyProtection="1">
      <alignment/>
      <protection/>
    </xf>
    <xf numFmtId="0" fontId="11" fillId="0" borderId="28" xfId="0" applyFont="1" applyBorder="1" applyAlignment="1" applyProtection="1">
      <alignment/>
      <protection/>
    </xf>
    <xf numFmtId="0" fontId="10" fillId="0" borderId="19" xfId="0" applyFont="1" applyBorder="1" applyAlignment="1" applyProtection="1">
      <alignment/>
      <protection/>
    </xf>
    <xf numFmtId="0" fontId="10" fillId="0" borderId="20" xfId="0" applyFont="1" applyBorder="1" applyAlignment="1" applyProtection="1">
      <alignment/>
      <protection/>
    </xf>
    <xf numFmtId="0" fontId="10" fillId="0" borderId="26" xfId="0" applyFont="1" applyBorder="1" applyAlignment="1" applyProtection="1">
      <alignment horizontal="center"/>
      <protection/>
    </xf>
    <xf numFmtId="0" fontId="10" fillId="0" borderId="28" xfId="0" applyFont="1" applyBorder="1" applyAlignment="1" applyProtection="1">
      <alignment horizontal="center"/>
      <protection/>
    </xf>
    <xf numFmtId="3" fontId="11" fillId="0" borderId="19" xfId="0" applyNumberFormat="1" applyFont="1" applyBorder="1" applyAlignment="1" applyProtection="1">
      <alignment/>
      <protection/>
    </xf>
    <xf numFmtId="3" fontId="11" fillId="0" borderId="28" xfId="0" applyNumberFormat="1" applyFont="1" applyBorder="1" applyAlignment="1" applyProtection="1">
      <alignment/>
      <protection/>
    </xf>
    <xf numFmtId="3" fontId="10" fillId="0" borderId="28" xfId="0" applyNumberFormat="1" applyFont="1" applyBorder="1" applyAlignment="1" applyProtection="1">
      <alignment/>
      <protection/>
    </xf>
    <xf numFmtId="3" fontId="11" fillId="0" borderId="28" xfId="0" applyNumberFormat="1" applyFont="1" applyBorder="1" applyAlignment="1" applyProtection="1">
      <alignment/>
      <protection/>
    </xf>
    <xf numFmtId="3" fontId="11" fillId="33" borderId="26" xfId="0" applyNumberFormat="1" applyFont="1" applyFill="1" applyBorder="1" applyAlignment="1" applyProtection="1">
      <alignment/>
      <protection/>
    </xf>
    <xf numFmtId="0" fontId="18" fillId="0" borderId="91" xfId="0" applyFont="1" applyBorder="1" applyAlignment="1" applyProtection="1">
      <alignment/>
      <protection/>
    </xf>
    <xf numFmtId="3" fontId="18" fillId="0" borderId="92" xfId="0" applyNumberFormat="1" applyFont="1" applyBorder="1" applyAlignment="1" applyProtection="1">
      <alignment/>
      <protection/>
    </xf>
    <xf numFmtId="37" fontId="18" fillId="0" borderId="92" xfId="49" applyNumberFormat="1" applyFont="1" applyBorder="1" applyAlignment="1" applyProtection="1">
      <alignment/>
      <protection/>
    </xf>
    <xf numFmtId="188" fontId="18" fillId="0" borderId="93" xfId="61" applyNumberFormat="1" applyFont="1" applyBorder="1" applyAlignment="1" applyProtection="1">
      <alignment/>
      <protection/>
    </xf>
    <xf numFmtId="0" fontId="18" fillId="0" borderId="94" xfId="0" applyFont="1" applyBorder="1" applyAlignment="1" applyProtection="1">
      <alignment/>
      <protection/>
    </xf>
    <xf numFmtId="3" fontId="18" fillId="0" borderId="95" xfId="0" applyNumberFormat="1" applyFont="1" applyBorder="1" applyAlignment="1" applyProtection="1">
      <alignment/>
      <protection/>
    </xf>
    <xf numFmtId="0" fontId="18" fillId="0" borderId="96" xfId="0" applyFont="1" applyBorder="1" applyAlignment="1" applyProtection="1">
      <alignment/>
      <protection/>
    </xf>
    <xf numFmtId="9" fontId="5" fillId="0" borderId="20" xfId="0" applyNumberFormat="1" applyFont="1" applyBorder="1" applyAlignment="1">
      <alignment horizontal="center"/>
    </xf>
    <xf numFmtId="37" fontId="18" fillId="0" borderId="10" xfId="0" applyNumberFormat="1" applyFont="1" applyFill="1" applyBorder="1" applyAlignment="1">
      <alignment vertical="top" wrapText="1"/>
    </xf>
    <xf numFmtId="0" fontId="2" fillId="0" borderId="0" xfId="0" applyFont="1" applyAlignment="1">
      <alignment/>
    </xf>
    <xf numFmtId="0" fontId="3" fillId="0" borderId="0" xfId="0" applyFont="1" applyAlignment="1">
      <alignment/>
    </xf>
    <xf numFmtId="0" fontId="0" fillId="0" borderId="0" xfId="0" applyFont="1" applyAlignment="1">
      <alignment/>
    </xf>
    <xf numFmtId="0" fontId="1" fillId="0" borderId="0" xfId="0" applyFont="1" applyAlignment="1">
      <alignment/>
    </xf>
    <xf numFmtId="0" fontId="0" fillId="0" borderId="0" xfId="0" applyFill="1" applyAlignment="1">
      <alignment/>
    </xf>
    <xf numFmtId="0" fontId="1" fillId="0" borderId="0" xfId="0" applyFont="1" applyFill="1" applyAlignment="1">
      <alignment/>
    </xf>
    <xf numFmtId="3" fontId="1" fillId="0" borderId="0" xfId="0" applyNumberFormat="1" applyFont="1" applyAlignment="1">
      <alignment/>
    </xf>
    <xf numFmtId="10" fontId="1" fillId="0" borderId="0" xfId="0" applyNumberFormat="1" applyFont="1" applyAlignment="1">
      <alignment/>
    </xf>
    <xf numFmtId="9" fontId="1" fillId="0" borderId="0" xfId="61" applyFont="1" applyAlignment="1">
      <alignment/>
    </xf>
    <xf numFmtId="10" fontId="1" fillId="0" borderId="0" xfId="61" applyNumberFormat="1" applyFont="1" applyAlignment="1">
      <alignment/>
    </xf>
    <xf numFmtId="0" fontId="20" fillId="0" borderId="0" xfId="0" applyFont="1" applyAlignment="1">
      <alignment/>
    </xf>
    <xf numFmtId="0" fontId="21" fillId="0" borderId="0" xfId="0" applyFont="1" applyAlignment="1">
      <alignment/>
    </xf>
    <xf numFmtId="3" fontId="19" fillId="0" borderId="0" xfId="0" applyNumberFormat="1" applyFont="1" applyFill="1" applyBorder="1" applyAlignment="1">
      <alignment/>
    </xf>
    <xf numFmtId="3" fontId="22" fillId="0" borderId="97" xfId="0" applyNumberFormat="1" applyFont="1" applyFill="1" applyBorder="1" applyAlignment="1">
      <alignment/>
    </xf>
    <xf numFmtId="3" fontId="22" fillId="0" borderId="98" xfId="0" applyNumberFormat="1" applyFont="1" applyFill="1" applyBorder="1" applyAlignment="1">
      <alignment/>
    </xf>
    <xf numFmtId="0" fontId="24" fillId="0" borderId="0" xfId="0" applyFont="1" applyAlignment="1">
      <alignment/>
    </xf>
    <xf numFmtId="0" fontId="25" fillId="0" borderId="0" xfId="0" applyFont="1" applyAlignment="1">
      <alignment horizontal="center"/>
    </xf>
    <xf numFmtId="3" fontId="25" fillId="0" borderId="0" xfId="0" applyNumberFormat="1" applyFont="1" applyAlignment="1">
      <alignment horizontal="center"/>
    </xf>
    <xf numFmtId="3" fontId="24" fillId="0" borderId="0" xfId="0" applyNumberFormat="1" applyFont="1" applyAlignment="1">
      <alignment/>
    </xf>
    <xf numFmtId="3" fontId="24" fillId="0" borderId="99" xfId="0" applyNumberFormat="1" applyFont="1" applyBorder="1" applyAlignment="1">
      <alignment/>
    </xf>
    <xf numFmtId="0" fontId="4" fillId="0" borderId="100" xfId="0" applyFont="1" applyFill="1" applyBorder="1" applyAlignment="1">
      <alignment/>
    </xf>
    <xf numFmtId="3" fontId="22" fillId="0" borderId="100" xfId="0" applyNumberFormat="1" applyFont="1" applyFill="1" applyBorder="1" applyAlignment="1">
      <alignment/>
    </xf>
    <xf numFmtId="3" fontId="4" fillId="0" borderId="97" xfId="0" applyNumberFormat="1" applyFont="1" applyFill="1" applyBorder="1" applyAlignment="1">
      <alignment/>
    </xf>
    <xf numFmtId="3" fontId="4" fillId="0" borderId="100" xfId="0" applyNumberFormat="1" applyFont="1" applyFill="1" applyBorder="1" applyAlignment="1">
      <alignment/>
    </xf>
    <xf numFmtId="3" fontId="4" fillId="0" borderId="100" xfId="0" applyNumberFormat="1" applyFont="1" applyFill="1" applyBorder="1" applyAlignment="1">
      <alignment/>
    </xf>
    <xf numFmtId="0" fontId="4" fillId="0" borderId="97" xfId="0" applyFont="1" applyFill="1" applyBorder="1" applyAlignment="1">
      <alignment/>
    </xf>
    <xf numFmtId="37" fontId="22" fillId="0" borderId="97" xfId="0" applyNumberFormat="1" applyFont="1" applyFill="1" applyBorder="1" applyAlignment="1">
      <alignment/>
    </xf>
    <xf numFmtId="0" fontId="22" fillId="0" borderId="100" xfId="0" applyFont="1" applyFill="1" applyBorder="1" applyAlignment="1">
      <alignment/>
    </xf>
    <xf numFmtId="0" fontId="4" fillId="0" borderId="97" xfId="0" applyFont="1" applyFill="1" applyBorder="1" applyAlignment="1">
      <alignment horizontal="left" indent="1"/>
    </xf>
    <xf numFmtId="3" fontId="22" fillId="0" borderId="100" xfId="0" applyNumberFormat="1" applyFont="1" applyFill="1" applyBorder="1" applyAlignment="1">
      <alignment/>
    </xf>
    <xf numFmtId="0" fontId="22" fillId="0" borderId="100" xfId="0" applyFont="1" applyFill="1" applyBorder="1" applyAlignment="1">
      <alignment/>
    </xf>
    <xf numFmtId="0" fontId="4" fillId="0" borderId="100" xfId="0" applyFont="1" applyFill="1" applyBorder="1" applyAlignment="1">
      <alignment/>
    </xf>
    <xf numFmtId="37" fontId="22" fillId="0" borderId="97" xfId="0" applyNumberFormat="1" applyFont="1" applyFill="1" applyBorder="1" applyAlignment="1">
      <alignment horizontal="left"/>
    </xf>
    <xf numFmtId="0" fontId="22" fillId="0" borderId="97" xfId="0" applyFont="1" applyFill="1" applyBorder="1" applyAlignment="1">
      <alignment/>
    </xf>
    <xf numFmtId="187" fontId="22" fillId="0" borderId="100" xfId="49" applyNumberFormat="1" applyFont="1" applyFill="1" applyBorder="1" applyAlignment="1">
      <alignment/>
    </xf>
    <xf numFmtId="3" fontId="25" fillId="0" borderId="0" xfId="0" applyNumberFormat="1" applyFont="1" applyAlignment="1">
      <alignment/>
    </xf>
    <xf numFmtId="194" fontId="25" fillId="0" borderId="0" xfId="0" applyNumberFormat="1" applyFont="1" applyAlignment="1">
      <alignment horizontal="right"/>
    </xf>
    <xf numFmtId="0" fontId="0" fillId="0" borderId="0" xfId="0" applyAlignment="1">
      <alignment horizontal="center"/>
    </xf>
    <xf numFmtId="188" fontId="1" fillId="0" borderId="0" xfId="0" applyNumberFormat="1" applyFont="1" applyAlignment="1">
      <alignment/>
    </xf>
    <xf numFmtId="10" fontId="22" fillId="0" borderId="101" xfId="61" applyNumberFormat="1" applyFont="1" applyFill="1" applyBorder="1" applyAlignment="1">
      <alignment/>
    </xf>
    <xf numFmtId="3" fontId="18" fillId="0" borderId="0" xfId="0" applyNumberFormat="1" applyFont="1" applyAlignment="1">
      <alignment horizontal="right"/>
    </xf>
    <xf numFmtId="3" fontId="7" fillId="0" borderId="0" xfId="0" applyNumberFormat="1" applyFont="1" applyAlignment="1">
      <alignment horizontal="right"/>
    </xf>
    <xf numFmtId="10" fontId="0" fillId="0" borderId="0" xfId="61" applyNumberFormat="1" applyFont="1" applyAlignment="1">
      <alignment/>
    </xf>
    <xf numFmtId="3" fontId="22" fillId="0" borderId="97" xfId="0" applyNumberFormat="1" applyFont="1" applyFill="1" applyBorder="1" applyAlignment="1">
      <alignment/>
    </xf>
    <xf numFmtId="0" fontId="4" fillId="0" borderId="97" xfId="0" applyFont="1" applyFill="1" applyBorder="1" applyAlignment="1">
      <alignment horizontal="left" indent="1"/>
    </xf>
    <xf numFmtId="0" fontId="4" fillId="0" borderId="97" xfId="0" applyFont="1" applyFill="1" applyBorder="1" applyAlignment="1">
      <alignment/>
    </xf>
    <xf numFmtId="187" fontId="18" fillId="0" borderId="0" xfId="49" applyNumberFormat="1" applyFont="1" applyAlignment="1">
      <alignment horizontal="right"/>
    </xf>
    <xf numFmtId="37" fontId="4" fillId="0" borderId="97" xfId="0" applyNumberFormat="1" applyFont="1" applyFill="1" applyBorder="1" applyAlignment="1">
      <alignment horizontal="left"/>
    </xf>
    <xf numFmtId="10" fontId="2" fillId="0" borderId="0" xfId="0" applyNumberFormat="1" applyFont="1" applyAlignment="1">
      <alignment/>
    </xf>
    <xf numFmtId="187" fontId="4" fillId="0" borderId="100" xfId="0" applyNumberFormat="1" applyFont="1" applyFill="1" applyBorder="1" applyAlignment="1">
      <alignment/>
    </xf>
    <xf numFmtId="187" fontId="22" fillId="0" borderId="100" xfId="0" applyNumberFormat="1" applyFont="1" applyFill="1" applyBorder="1" applyAlignment="1">
      <alignment/>
    </xf>
    <xf numFmtId="0" fontId="4" fillId="0" borderId="101" xfId="0" applyFont="1" applyFill="1" applyBorder="1" applyAlignment="1">
      <alignment/>
    </xf>
    <xf numFmtId="0" fontId="4" fillId="0" borderId="97" xfId="0" applyFont="1" applyFill="1" applyBorder="1" applyAlignment="1">
      <alignment horizontal="left" indent="1"/>
    </xf>
    <xf numFmtId="0" fontId="0" fillId="0" borderId="97" xfId="0" applyFont="1" applyFill="1" applyBorder="1" applyAlignment="1">
      <alignment horizontal="left" indent="1"/>
    </xf>
    <xf numFmtId="37" fontId="4" fillId="0" borderId="97" xfId="0" applyNumberFormat="1" applyFont="1" applyFill="1" applyBorder="1" applyAlignment="1">
      <alignment horizontal="left"/>
    </xf>
    <xf numFmtId="0" fontId="4" fillId="0" borderId="97" xfId="0" applyFont="1" applyFill="1" applyBorder="1" applyAlignment="1">
      <alignment/>
    </xf>
    <xf numFmtId="3" fontId="23" fillId="0" borderId="100" xfId="0" applyNumberFormat="1" applyFont="1" applyFill="1" applyBorder="1" applyAlignment="1">
      <alignment/>
    </xf>
    <xf numFmtId="187" fontId="4" fillId="0" borderId="100" xfId="49" applyNumberFormat="1" applyFont="1" applyFill="1" applyBorder="1" applyAlignment="1">
      <alignment/>
    </xf>
    <xf numFmtId="171" fontId="24" fillId="0" borderId="0" xfId="49" applyFont="1" applyFill="1" applyAlignment="1">
      <alignment/>
    </xf>
    <xf numFmtId="171" fontId="24" fillId="0" borderId="99" xfId="49" applyFont="1" applyFill="1" applyBorder="1" applyAlignment="1">
      <alignment/>
    </xf>
    <xf numFmtId="3" fontId="4" fillId="0" borderId="100" xfId="0" applyNumberFormat="1" applyFont="1" applyFill="1" applyBorder="1" applyAlignment="1">
      <alignment/>
    </xf>
    <xf numFmtId="37" fontId="4" fillId="0" borderId="97" xfId="0" applyNumberFormat="1" applyFont="1" applyFill="1" applyBorder="1" applyAlignment="1">
      <alignment/>
    </xf>
    <xf numFmtId="0" fontId="4" fillId="0" borderId="102" xfId="0" applyFont="1" applyFill="1" applyBorder="1" applyAlignment="1">
      <alignment horizontal="left" indent="1"/>
    </xf>
    <xf numFmtId="10" fontId="4" fillId="0" borderId="101" xfId="61" applyNumberFormat="1" applyFont="1" applyFill="1" applyBorder="1" applyAlignment="1">
      <alignment/>
    </xf>
    <xf numFmtId="3" fontId="4" fillId="0" borderId="101" xfId="0" applyNumberFormat="1" applyFont="1" applyFill="1" applyBorder="1" applyAlignment="1">
      <alignment/>
    </xf>
    <xf numFmtId="37" fontId="22" fillId="0" borderId="97" xfId="0" applyNumberFormat="1" applyFont="1" applyFill="1" applyBorder="1" applyAlignment="1">
      <alignment horizontal="left" wrapText="1"/>
    </xf>
    <xf numFmtId="0" fontId="4" fillId="0" borderId="102" xfId="0" applyFont="1" applyFill="1" applyBorder="1" applyAlignment="1">
      <alignment horizontal="left" indent="1"/>
    </xf>
    <xf numFmtId="0" fontId="4" fillId="0" borderId="97" xfId="0" applyFont="1" applyFill="1" applyBorder="1" applyAlignment="1">
      <alignment horizontal="left" wrapText="1" indent="1"/>
    </xf>
    <xf numFmtId="3" fontId="22" fillId="0" borderId="101" xfId="0" applyNumberFormat="1" applyFont="1" applyFill="1" applyBorder="1" applyAlignment="1">
      <alignment/>
    </xf>
    <xf numFmtId="3" fontId="4" fillId="0" borderId="101" xfId="0" applyNumberFormat="1" applyFont="1" applyFill="1" applyBorder="1" applyAlignment="1">
      <alignment/>
    </xf>
    <xf numFmtId="3" fontId="22" fillId="0" borderId="101" xfId="0" applyNumberFormat="1" applyFont="1" applyFill="1" applyBorder="1" applyAlignment="1">
      <alignment/>
    </xf>
    <xf numFmtId="3" fontId="4" fillId="0" borderId="101" xfId="0" applyNumberFormat="1" applyFont="1" applyFill="1" applyBorder="1" applyAlignment="1">
      <alignment/>
    </xf>
    <xf numFmtId="3" fontId="0" fillId="0" borderId="0" xfId="0" applyNumberFormat="1" applyFont="1" applyAlignment="1">
      <alignment/>
    </xf>
    <xf numFmtId="3" fontId="4" fillId="0" borderId="103" xfId="0" applyNumberFormat="1" applyFont="1" applyFill="1" applyBorder="1" applyAlignment="1">
      <alignment/>
    </xf>
    <xf numFmtId="187" fontId="1" fillId="0" borderId="0" xfId="49" applyNumberFormat="1" applyFont="1" applyAlignment="1">
      <alignment/>
    </xf>
    <xf numFmtId="187" fontId="3" fillId="0" borderId="0" xfId="0" applyNumberFormat="1" applyFont="1" applyAlignment="1">
      <alignment/>
    </xf>
    <xf numFmtId="187" fontId="3" fillId="0" borderId="0" xfId="49" applyNumberFormat="1" applyFont="1" applyAlignment="1">
      <alignment/>
    </xf>
    <xf numFmtId="0" fontId="22" fillId="0" borderId="104" xfId="0" applyFont="1" applyFill="1" applyBorder="1" applyAlignment="1">
      <alignment horizontal="center" vertical="center" wrapText="1"/>
    </xf>
    <xf numFmtId="0" fontId="4" fillId="0" borderId="98" xfId="0" applyFont="1" applyFill="1" applyBorder="1" applyAlignment="1">
      <alignment/>
    </xf>
    <xf numFmtId="0" fontId="0" fillId="34" borderId="0" xfId="0" applyFill="1" applyAlignment="1">
      <alignment/>
    </xf>
    <xf numFmtId="171" fontId="1" fillId="34" borderId="0" xfId="49" applyFont="1" applyFill="1" applyAlignment="1">
      <alignment/>
    </xf>
    <xf numFmtId="3" fontId="25" fillId="34" borderId="0" xfId="0" applyNumberFormat="1" applyFont="1" applyFill="1" applyAlignment="1">
      <alignment horizontal="center"/>
    </xf>
    <xf numFmtId="3" fontId="24" fillId="34" borderId="0" xfId="0" applyNumberFormat="1" applyFont="1" applyFill="1" applyAlignment="1">
      <alignment/>
    </xf>
    <xf numFmtId="0" fontId="24" fillId="34" borderId="0" xfId="0" applyFont="1" applyFill="1" applyAlignment="1">
      <alignment/>
    </xf>
    <xf numFmtId="0" fontId="1" fillId="34" borderId="0" xfId="0" applyFont="1" applyFill="1" applyAlignment="1">
      <alignment/>
    </xf>
    <xf numFmtId="3" fontId="26" fillId="0" borderId="99" xfId="0" applyNumberFormat="1" applyFont="1" applyFill="1" applyBorder="1" applyAlignment="1">
      <alignment horizontal="centerContinuous"/>
    </xf>
    <xf numFmtId="0" fontId="22" fillId="0" borderId="99" xfId="0" applyFont="1" applyFill="1" applyBorder="1" applyAlignment="1">
      <alignment horizontal="centerContinuous"/>
    </xf>
    <xf numFmtId="0" fontId="26" fillId="0" borderId="99" xfId="0" applyFont="1" applyFill="1" applyBorder="1" applyAlignment="1">
      <alignment horizontal="centerContinuous"/>
    </xf>
    <xf numFmtId="0" fontId="22" fillId="0" borderId="105" xfId="0" applyFont="1" applyFill="1" applyBorder="1" applyAlignment="1">
      <alignment horizontal="center" vertical="center"/>
    </xf>
    <xf numFmtId="0" fontId="22" fillId="0" borderId="106" xfId="0" applyFont="1" applyFill="1" applyBorder="1" applyAlignment="1">
      <alignment horizontal="center" vertical="center" wrapText="1"/>
    </xf>
    <xf numFmtId="3" fontId="4" fillId="0" borderId="0" xfId="0" applyNumberFormat="1" applyFont="1" applyFill="1" applyBorder="1" applyAlignment="1">
      <alignment/>
    </xf>
    <xf numFmtId="0" fontId="4" fillId="0" borderId="107" xfId="0" applyFont="1" applyFill="1" applyBorder="1" applyAlignment="1">
      <alignment/>
    </xf>
    <xf numFmtId="3" fontId="4" fillId="0" borderId="98" xfId="0" applyNumberFormat="1" applyFont="1" applyFill="1" applyBorder="1" applyAlignment="1">
      <alignment/>
    </xf>
    <xf numFmtId="0" fontId="4" fillId="0" borderId="108" xfId="0" applyFont="1" applyFill="1" applyBorder="1" applyAlignment="1">
      <alignment/>
    </xf>
    <xf numFmtId="0" fontId="1" fillId="0" borderId="0" xfId="0" applyFont="1" applyFill="1" applyAlignment="1">
      <alignment/>
    </xf>
    <xf numFmtId="3" fontId="1" fillId="0" borderId="0" xfId="0" applyNumberFormat="1" applyFont="1" applyFill="1" applyAlignment="1">
      <alignment/>
    </xf>
    <xf numFmtId="10" fontId="1" fillId="0" borderId="0" xfId="0" applyNumberFormat="1" applyFont="1" applyFill="1" applyAlignment="1">
      <alignment/>
    </xf>
    <xf numFmtId="0" fontId="22" fillId="0" borderId="0" xfId="0" applyFont="1" applyAlignment="1">
      <alignment horizontal="center"/>
    </xf>
    <xf numFmtId="0" fontId="22" fillId="0" borderId="0" xfId="0" applyFont="1" applyFill="1" applyAlignment="1">
      <alignment horizontal="center"/>
    </xf>
    <xf numFmtId="0" fontId="5" fillId="0" borderId="0" xfId="0" applyFont="1" applyBorder="1" applyAlignment="1">
      <alignment horizontal="center"/>
    </xf>
    <xf numFmtId="0" fontId="5" fillId="0" borderId="99" xfId="0" applyFont="1" applyBorder="1" applyAlignment="1">
      <alignment horizontal="center"/>
    </xf>
    <xf numFmtId="0" fontId="5" fillId="0" borderId="0" xfId="0" applyFont="1" applyAlignment="1">
      <alignment horizontal="center"/>
    </xf>
    <xf numFmtId="0" fontId="5" fillId="0" borderId="0" xfId="0" applyFont="1" applyAlignment="1" applyProtection="1">
      <alignment horizontal="center"/>
      <protection/>
    </xf>
    <xf numFmtId="0" fontId="5" fillId="0" borderId="0" xfId="0" applyFont="1" applyAlignment="1" applyProtection="1" quotePrefix="1">
      <alignment horizontal="center"/>
      <protection/>
    </xf>
    <xf numFmtId="0" fontId="5" fillId="0" borderId="99" xfId="0" applyFont="1" applyBorder="1" applyAlignment="1" applyProtection="1">
      <alignment horizontal="center"/>
      <protection/>
    </xf>
    <xf numFmtId="0" fontId="5" fillId="0" borderId="29" xfId="0" applyFont="1" applyBorder="1" applyAlignment="1">
      <alignment horizontal="center" vertical="justify" wrapText="1"/>
    </xf>
    <xf numFmtId="0" fontId="5" fillId="0" borderId="0" xfId="0" applyFont="1" applyBorder="1" applyAlignment="1">
      <alignment horizontal="center" vertical="justify" wrapText="1"/>
    </xf>
    <xf numFmtId="0" fontId="5" fillId="0" borderId="22" xfId="0" applyFont="1" applyBorder="1" applyAlignment="1">
      <alignment horizontal="center"/>
    </xf>
    <xf numFmtId="0" fontId="5" fillId="0" borderId="21" xfId="0" applyFont="1" applyBorder="1" applyAlignment="1">
      <alignment horizontal="center"/>
    </xf>
    <xf numFmtId="0" fontId="5" fillId="0" borderId="19" xfId="0" applyFont="1" applyBorder="1" applyAlignment="1">
      <alignment horizontal="center"/>
    </xf>
    <xf numFmtId="0" fontId="5" fillId="0" borderId="20" xfId="0" applyFont="1" applyBorder="1" applyAlignment="1">
      <alignment horizontal="center"/>
    </xf>
  </cellXfs>
  <cellStyles count="5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3" xfId="52"/>
    <cellStyle name="Millares 4" xfId="53"/>
    <cellStyle name="Millares 5" xfId="54"/>
    <cellStyle name="Millares_Gastos de personal" xfId="55"/>
    <cellStyle name="Currency" xfId="56"/>
    <cellStyle name="Currency [0]" xfId="57"/>
    <cellStyle name="Neutral" xfId="58"/>
    <cellStyle name="Normal 2" xfId="59"/>
    <cellStyle name="Notas" xfId="60"/>
    <cellStyle name="Percent" xfId="61"/>
    <cellStyle name="Porcentual 2" xfId="62"/>
    <cellStyle name="Porcentual 3" xfId="63"/>
    <cellStyle name="Porcentual 4" xfId="64"/>
    <cellStyle name="Salida" xfId="65"/>
    <cellStyle name="Texto de advertencia" xfId="66"/>
    <cellStyle name="Texto explicativo" xfId="67"/>
    <cellStyle name="Título" xfId="68"/>
    <cellStyle name="Título 2" xfId="69"/>
    <cellStyle name="Título 3" xfId="70"/>
    <cellStyle name="Total" xfId="71"/>
  </cellStyles>
  <dxfs count="1">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PatriciaMart&#237;nez\Configuraci&#243;n%20local\Archivos%20temporales%20de%20Internet\Content.Outlook\RD6RDTKZ\A&#241;o%202008\Presupuesto%202009\nomina%202009%20pp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JefeControlRegional\Presupuesto%202008\Presupuesto%202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exo 1 Minagricultura"/>
      <sheetName val="Otros ingresos"/>
      <sheetName val="Presupuesto general"/>
      <sheetName val="2004VS2005"/>
      <sheetName val="Escenarios PPC"/>
      <sheetName val="Superávit 2006"/>
      <sheetName val="Anexo 2 Minagricultura"/>
      <sheetName val="Anexo 3 Minagricultura"/>
      <sheetName val="Anexo 4 Regionalizacion"/>
      <sheetName val="Funcionamiento"/>
      <sheetName val="NOMINA HONORARIOS 2009 1"/>
      <sheetName val="NOMINA HONORARIOS 2009 2"/>
      <sheetName val="comparativo  alternativas "/>
      <sheetName val="Inversión total en programas"/>
      <sheetName val="MODELO CONTRATISTAS"/>
      <sheetName val="Servicios personal 2005"/>
      <sheetName val="Nómina 2004"/>
    </sheetNames>
    <sheetDataSet>
      <sheetData sheetId="0">
        <row r="51">
          <cell r="C51">
            <v>2168.25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gresos"/>
      <sheetName val="Superávit 2006"/>
      <sheetName val="Otros ingresos"/>
      <sheetName val="Presupuesto general"/>
      <sheetName val="2004VS2005"/>
      <sheetName val="Escenarios PPC"/>
      <sheetName val="Anexo 2 Minagricultura"/>
      <sheetName val="Anexo 3 Minagricultura"/>
      <sheetName val="Anexo 4 Regionalizacion"/>
      <sheetName val="Funcionamiento"/>
      <sheetName val="Presupuesto de recaudo"/>
      <sheetName val="Inversión total en programas"/>
      <sheetName val="MODELO CONTRATISTAS"/>
      <sheetName val="Servicios personal 2005"/>
      <sheetName val="Nómina 2004"/>
    </sheetNames>
    <sheetDataSet>
      <sheetData sheetId="0">
        <row r="19">
          <cell r="C19">
            <v>2489922289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45"/>
  </sheetPr>
  <dimension ref="A1:S265"/>
  <sheetViews>
    <sheetView tabSelected="1" view="pageBreakPreview" zoomScale="75" zoomScaleNormal="75" zoomScaleSheetLayoutView="75" zoomScalePageLayoutView="0" workbookViewId="0" topLeftCell="A1">
      <pane xSplit="1" ySplit="6" topLeftCell="B46" activePane="bottomRight" state="frozen"/>
      <selection pane="topLeft" activeCell="A1" sqref="A1"/>
      <selection pane="topRight" activeCell="B1" sqref="B1"/>
      <selection pane="bottomLeft" activeCell="A7" sqref="A7"/>
      <selection pane="bottomRight" activeCell="A170" sqref="A170"/>
    </sheetView>
  </sheetViews>
  <sheetFormatPr defaultColWidth="11.421875" defaultRowHeight="12.75" outlineLevelRow="2"/>
  <cols>
    <col min="1" max="1" width="43.421875" style="0" customWidth="1"/>
    <col min="2" max="2" width="15.8515625" style="0" customWidth="1"/>
    <col min="3" max="3" width="15.28125" style="0" customWidth="1"/>
    <col min="4" max="4" width="14.57421875" style="0" customWidth="1"/>
    <col min="5" max="5" width="15.140625" style="0" customWidth="1"/>
    <col min="6" max="6" width="16.7109375" style="0" customWidth="1"/>
    <col min="7" max="7" width="19.140625" style="0" customWidth="1"/>
    <col min="8" max="8" width="16.140625" style="452" customWidth="1"/>
    <col min="9" max="9" width="14.28125" style="0" customWidth="1"/>
    <col min="10" max="10" width="15.140625" style="0" customWidth="1"/>
    <col min="11" max="12" width="14.57421875" style="0" customWidth="1"/>
    <col min="13" max="13" width="17.8515625" style="0" customWidth="1"/>
    <col min="14" max="14" width="15.28125" style="0" hidden="1" customWidth="1"/>
    <col min="15" max="15" width="14.57421875" style="0" customWidth="1"/>
    <col min="16" max="16" width="17.28125" style="0" bestFit="1" customWidth="1"/>
    <col min="17" max="20" width="14.57421875" style="0" customWidth="1"/>
  </cols>
  <sheetData>
    <row r="1" spans="1:14" ht="15" outlineLevel="1">
      <c r="A1" s="470" t="s">
        <v>18</v>
      </c>
      <c r="B1" s="470"/>
      <c r="C1" s="470"/>
      <c r="D1" s="470"/>
      <c r="E1" s="470"/>
      <c r="F1" s="470"/>
      <c r="G1" s="470"/>
      <c r="H1" s="470"/>
      <c r="I1" s="470"/>
      <c r="J1" s="470"/>
      <c r="K1" s="470"/>
      <c r="L1" s="470"/>
      <c r="M1" s="470"/>
      <c r="N1" s="470"/>
    </row>
    <row r="2" spans="1:14" ht="15" outlineLevel="1">
      <c r="A2" s="470" t="s">
        <v>51</v>
      </c>
      <c r="B2" s="470"/>
      <c r="C2" s="470"/>
      <c r="D2" s="470"/>
      <c r="E2" s="470"/>
      <c r="F2" s="470"/>
      <c r="G2" s="470"/>
      <c r="H2" s="470"/>
      <c r="I2" s="470"/>
      <c r="J2" s="470"/>
      <c r="K2" s="470"/>
      <c r="L2" s="470"/>
      <c r="M2" s="470"/>
      <c r="N2" s="470"/>
    </row>
    <row r="3" spans="1:14" ht="15" outlineLevel="1">
      <c r="A3" s="470" t="s">
        <v>303</v>
      </c>
      <c r="B3" s="470"/>
      <c r="C3" s="470"/>
      <c r="D3" s="470"/>
      <c r="E3" s="470"/>
      <c r="F3" s="470"/>
      <c r="G3" s="470"/>
      <c r="H3" s="470"/>
      <c r="I3" s="470"/>
      <c r="J3" s="470"/>
      <c r="K3" s="470"/>
      <c r="L3" s="470"/>
      <c r="M3" s="470"/>
      <c r="N3" s="470"/>
    </row>
    <row r="4" spans="1:14" ht="15" outlineLevel="1">
      <c r="A4" s="471" t="s">
        <v>360</v>
      </c>
      <c r="B4" s="471"/>
      <c r="C4" s="471"/>
      <c r="D4" s="471"/>
      <c r="E4" s="471"/>
      <c r="F4" s="471"/>
      <c r="G4" s="471"/>
      <c r="H4" s="471"/>
      <c r="I4" s="471"/>
      <c r="J4" s="471"/>
      <c r="K4" s="471"/>
      <c r="L4" s="471"/>
      <c r="M4" s="471"/>
      <c r="N4" s="471"/>
    </row>
    <row r="5" spans="1:15" ht="15.75" outlineLevel="1" thickBot="1">
      <c r="A5" s="458"/>
      <c r="B5" s="459"/>
      <c r="C5" s="460"/>
      <c r="D5" s="459"/>
      <c r="E5" s="459"/>
      <c r="F5" s="459"/>
      <c r="G5" s="459"/>
      <c r="H5" s="377"/>
      <c r="I5" s="377"/>
      <c r="J5" s="377"/>
      <c r="K5" s="377"/>
      <c r="L5" s="377"/>
      <c r="M5" s="377"/>
      <c r="N5" s="377"/>
      <c r="O5" s="1"/>
    </row>
    <row r="6" spans="1:15" ht="45.75" thickTop="1">
      <c r="A6" s="461" t="s">
        <v>29</v>
      </c>
      <c r="B6" s="450" t="s">
        <v>257</v>
      </c>
      <c r="C6" s="450" t="s">
        <v>258</v>
      </c>
      <c r="D6" s="450" t="s">
        <v>264</v>
      </c>
      <c r="E6" s="450" t="s">
        <v>259</v>
      </c>
      <c r="F6" s="450" t="s">
        <v>260</v>
      </c>
      <c r="G6" s="450" t="s">
        <v>16</v>
      </c>
      <c r="H6" s="450" t="s">
        <v>25</v>
      </c>
      <c r="I6" s="450" t="s">
        <v>365</v>
      </c>
      <c r="J6" s="450" t="s">
        <v>369</v>
      </c>
      <c r="K6" s="450" t="s">
        <v>368</v>
      </c>
      <c r="L6" s="450" t="s">
        <v>375</v>
      </c>
      <c r="M6" s="462" t="s">
        <v>366</v>
      </c>
      <c r="N6" s="462" t="s">
        <v>261</v>
      </c>
      <c r="O6" s="1"/>
    </row>
    <row r="7" spans="1:15" ht="15.75" customHeight="1">
      <c r="A7" s="386" t="s">
        <v>262</v>
      </c>
      <c r="B7" s="393"/>
      <c r="C7" s="393"/>
      <c r="D7" s="393"/>
      <c r="E7" s="393"/>
      <c r="F7" s="393"/>
      <c r="G7" s="393"/>
      <c r="H7" s="393"/>
      <c r="I7" s="393"/>
      <c r="J7" s="393"/>
      <c r="K7" s="393"/>
      <c r="L7" s="393"/>
      <c r="M7" s="424"/>
      <c r="N7" s="424"/>
      <c r="O7" s="383"/>
    </row>
    <row r="8" spans="1:17" ht="15.75" customHeight="1">
      <c r="A8" s="416" t="s">
        <v>251</v>
      </c>
      <c r="B8" s="402">
        <v>636905759.7728196</v>
      </c>
      <c r="C8" s="402">
        <v>152573668.92925346</v>
      </c>
      <c r="D8" s="402">
        <v>833124773.3728915</v>
      </c>
      <c r="E8" s="402">
        <v>273084302.9992615</v>
      </c>
      <c r="F8" s="402">
        <v>1895688505.074226</v>
      </c>
      <c r="G8" s="402">
        <v>160227882.63764888</v>
      </c>
      <c r="H8" s="402">
        <v>2055916387.7118747</v>
      </c>
      <c r="I8" s="402"/>
      <c r="J8" s="402">
        <v>-14764255</v>
      </c>
      <c r="K8" s="402"/>
      <c r="L8" s="402"/>
      <c r="M8" s="441">
        <v>2041152132.7118747</v>
      </c>
      <c r="N8" s="412">
        <f aca="true" t="shared" si="0" ref="N8:N20">+H8/$H$186</f>
        <v>0.1328923488789391</v>
      </c>
      <c r="O8" s="1"/>
      <c r="P8" s="384"/>
      <c r="Q8" s="384"/>
    </row>
    <row r="9" spans="1:19" ht="15.75" customHeight="1">
      <c r="A9" s="395" t="s">
        <v>265</v>
      </c>
      <c r="B9" s="396">
        <v>431215784.81152004</v>
      </c>
      <c r="C9" s="396">
        <v>102499963.61936</v>
      </c>
      <c r="D9" s="396">
        <v>561369475.8672568</v>
      </c>
      <c r="E9" s="396">
        <v>193681302.90645</v>
      </c>
      <c r="F9" s="396">
        <v>1288766527.2045867</v>
      </c>
      <c r="G9" s="396">
        <v>108329020.80925333</v>
      </c>
      <c r="H9" s="396">
        <v>1397095548.0138402</v>
      </c>
      <c r="I9" s="396"/>
      <c r="J9" s="396">
        <v>-9765945</v>
      </c>
      <c r="K9" s="396"/>
      <c r="L9" s="396"/>
      <c r="M9" s="442">
        <v>1387329603.0138402</v>
      </c>
      <c r="N9" s="436">
        <f t="shared" si="0"/>
        <v>0.09030683839749983</v>
      </c>
      <c r="O9" s="413"/>
      <c r="S9" s="410"/>
    </row>
    <row r="10" spans="1:19" ht="15.75" customHeight="1">
      <c r="A10" s="395" t="s">
        <v>5</v>
      </c>
      <c r="B10" s="396">
        <v>30356989.2236</v>
      </c>
      <c r="C10" s="396">
        <v>6889329.222800001</v>
      </c>
      <c r="D10" s="396">
        <v>40194738.5632</v>
      </c>
      <c r="E10" s="396">
        <v>9634398.4835</v>
      </c>
      <c r="F10" s="396">
        <v>87075455.4931</v>
      </c>
      <c r="G10" s="396">
        <v>8256911.6266</v>
      </c>
      <c r="H10" s="396">
        <v>95332367.1197</v>
      </c>
      <c r="I10" s="396"/>
      <c r="J10" s="396">
        <v>-802284</v>
      </c>
      <c r="K10" s="396"/>
      <c r="L10" s="396"/>
      <c r="M10" s="442">
        <v>94530083.1197</v>
      </c>
      <c r="N10" s="436">
        <f t="shared" si="0"/>
        <v>0.006162187463677028</v>
      </c>
      <c r="O10" s="413"/>
      <c r="P10" s="413"/>
      <c r="Q10" s="415"/>
      <c r="R10" s="4"/>
      <c r="S10" s="4"/>
    </row>
    <row r="11" spans="1:19" ht="15.75" customHeight="1">
      <c r="A11" s="395" t="s">
        <v>6</v>
      </c>
      <c r="B11" s="396">
        <v>3642838.7068319996</v>
      </c>
      <c r="C11" s="396">
        <v>826719.506736</v>
      </c>
      <c r="D11" s="396">
        <v>4823368.627584001</v>
      </c>
      <c r="E11" s="396">
        <v>1156127.81802</v>
      </c>
      <c r="F11" s="396">
        <v>10449054.659172</v>
      </c>
      <c r="G11" s="396">
        <v>990829.3951920001</v>
      </c>
      <c r="H11" s="396">
        <v>11439884.054364</v>
      </c>
      <c r="I11" s="396"/>
      <c r="J11" s="396">
        <v>-96274</v>
      </c>
      <c r="K11" s="396"/>
      <c r="L11" s="396"/>
      <c r="M11" s="442">
        <v>11343610.054364</v>
      </c>
      <c r="N11" s="436">
        <f t="shared" si="0"/>
        <v>0.0007394624956412433</v>
      </c>
      <c r="O11" s="413"/>
      <c r="P11" s="413"/>
      <c r="Q11" s="415"/>
      <c r="R11" s="4"/>
      <c r="S11" s="4"/>
    </row>
    <row r="12" spans="1:17" ht="15.75" customHeight="1">
      <c r="A12" s="395" t="s">
        <v>1</v>
      </c>
      <c r="B12" s="396">
        <v>30356989.2236</v>
      </c>
      <c r="C12" s="396">
        <v>6889329.222800001</v>
      </c>
      <c r="D12" s="396">
        <v>40194738.5632</v>
      </c>
      <c r="E12" s="396">
        <v>9634398.4835</v>
      </c>
      <c r="F12" s="396">
        <v>87075455.4931</v>
      </c>
      <c r="G12" s="396">
        <v>8256911.6266</v>
      </c>
      <c r="H12" s="396">
        <v>95332367.1197</v>
      </c>
      <c r="I12" s="396"/>
      <c r="J12" s="396">
        <v>-802284</v>
      </c>
      <c r="K12" s="396"/>
      <c r="L12" s="396"/>
      <c r="M12" s="442">
        <v>94530083.1197</v>
      </c>
      <c r="N12" s="436">
        <f t="shared" si="0"/>
        <v>0.006162187463677028</v>
      </c>
      <c r="O12" s="413"/>
      <c r="P12" s="413"/>
      <c r="Q12" s="415"/>
    </row>
    <row r="13" spans="1:17" ht="15.75" customHeight="1">
      <c r="A13" s="395" t="s">
        <v>2</v>
      </c>
      <c r="B13" s="396">
        <v>18408994.9368</v>
      </c>
      <c r="C13" s="396">
        <v>6675164.936399999</v>
      </c>
      <c r="D13" s="396">
        <v>23327869.606599998</v>
      </c>
      <c r="E13" s="396">
        <v>8047699.566749999</v>
      </c>
      <c r="F13" s="396">
        <v>56459729.04655</v>
      </c>
      <c r="G13" s="396">
        <v>4128455.8133</v>
      </c>
      <c r="H13" s="396">
        <v>60588184.85985</v>
      </c>
      <c r="I13" s="396"/>
      <c r="J13" s="396">
        <v>-401142</v>
      </c>
      <c r="K13" s="396"/>
      <c r="L13" s="396"/>
      <c r="M13" s="442">
        <v>60187042.85985</v>
      </c>
      <c r="N13" s="436">
        <f t="shared" si="0"/>
        <v>0.003916358782128275</v>
      </c>
      <c r="O13" s="413"/>
      <c r="P13" s="413"/>
      <c r="Q13" s="415"/>
    </row>
    <row r="14" spans="1:17" ht="15.75" customHeight="1">
      <c r="A14" s="395" t="s">
        <v>224</v>
      </c>
      <c r="B14" s="396"/>
      <c r="C14" s="396"/>
      <c r="D14" s="396"/>
      <c r="E14" s="396"/>
      <c r="F14" s="396">
        <v>0</v>
      </c>
      <c r="G14" s="396">
        <v>20000000</v>
      </c>
      <c r="H14" s="396">
        <v>20000000</v>
      </c>
      <c r="I14" s="396"/>
      <c r="J14" s="396">
        <v>0</v>
      </c>
      <c r="K14" s="396"/>
      <c r="L14" s="396"/>
      <c r="M14" s="442">
        <v>20000000</v>
      </c>
      <c r="N14" s="436">
        <f t="shared" si="0"/>
        <v>0.0012927797032333713</v>
      </c>
      <c r="O14" s="413"/>
      <c r="P14" s="413"/>
      <c r="Q14" s="415"/>
    </row>
    <row r="15" spans="1:17" ht="15.75" customHeight="1">
      <c r="A15" s="395" t="s">
        <v>3</v>
      </c>
      <c r="B15" s="396">
        <v>86278143.24861592</v>
      </c>
      <c r="C15" s="396">
        <v>20161543.548650064</v>
      </c>
      <c r="D15" s="396">
        <v>114983174.12818265</v>
      </c>
      <c r="E15" s="396">
        <v>35662459.49064602</v>
      </c>
      <c r="F15" s="396">
        <v>257085320.41609466</v>
      </c>
      <c r="G15" s="396">
        <v>21516183.775095753</v>
      </c>
      <c r="H15" s="396">
        <v>278601504.1911904</v>
      </c>
      <c r="I15" s="396"/>
      <c r="J15" s="396">
        <v>-2028065</v>
      </c>
      <c r="K15" s="396"/>
      <c r="L15" s="396"/>
      <c r="M15" s="442">
        <v>276573439.1911904</v>
      </c>
      <c r="N15" s="436">
        <f t="shared" si="0"/>
        <v>0.0180085184954329</v>
      </c>
      <c r="O15" s="413"/>
      <c r="P15" s="413"/>
      <c r="Q15" s="415"/>
    </row>
    <row r="16" spans="1:17" ht="15.75" customHeight="1">
      <c r="A16" s="395" t="s">
        <v>7</v>
      </c>
      <c r="B16" s="396">
        <v>16287119.831934135</v>
      </c>
      <c r="C16" s="396">
        <v>3836275.054447733</v>
      </c>
      <c r="D16" s="396">
        <v>21436181.34083027</v>
      </c>
      <c r="E16" s="396">
        <v>6785740.555731333</v>
      </c>
      <c r="F16" s="396">
        <v>48345316.78294347</v>
      </c>
      <c r="G16" s="396">
        <v>3888697.596270133</v>
      </c>
      <c r="H16" s="396">
        <v>52234014.3792136</v>
      </c>
      <c r="I16" s="396"/>
      <c r="J16" s="396">
        <v>-385894</v>
      </c>
      <c r="K16" s="396"/>
      <c r="L16" s="396"/>
      <c r="M16" s="442">
        <v>51848120.3792136</v>
      </c>
      <c r="N16" s="436">
        <f t="shared" si="0"/>
        <v>0.0033763536803923704</v>
      </c>
      <c r="O16" s="413"/>
      <c r="P16" s="413"/>
      <c r="Q16" s="415"/>
    </row>
    <row r="17" spans="1:17" ht="15.75" customHeight="1">
      <c r="A17" s="395" t="s">
        <v>4</v>
      </c>
      <c r="B17" s="396">
        <v>20358899.789917663</v>
      </c>
      <c r="C17" s="396">
        <v>4795343.818059666</v>
      </c>
      <c r="D17" s="396">
        <v>26795226.676037837</v>
      </c>
      <c r="E17" s="396">
        <v>8482175.694664165</v>
      </c>
      <c r="F17" s="396">
        <v>60431645.97867933</v>
      </c>
      <c r="G17" s="396">
        <v>4860871.995337665</v>
      </c>
      <c r="H17" s="396">
        <v>65292517.974016994</v>
      </c>
      <c r="I17" s="396"/>
      <c r="J17" s="396">
        <v>-482367</v>
      </c>
      <c r="K17" s="396"/>
      <c r="L17" s="396"/>
      <c r="M17" s="442">
        <v>64810150.974016994</v>
      </c>
      <c r="N17" s="436">
        <f t="shared" si="0"/>
        <v>0.004220442100490463</v>
      </c>
      <c r="O17" s="413"/>
      <c r="P17" s="413"/>
      <c r="Q17" s="415"/>
    </row>
    <row r="18" spans="1:17" ht="15.75" customHeight="1">
      <c r="A18" s="395" t="s">
        <v>263</v>
      </c>
      <c r="B18" s="396">
        <v>255000</v>
      </c>
      <c r="C18" s="396">
        <v>255000</v>
      </c>
      <c r="D18" s="396">
        <v>765000</v>
      </c>
      <c r="E18" s="396">
        <v>255000</v>
      </c>
      <c r="F18" s="396">
        <v>1530000</v>
      </c>
      <c r="G18" s="396">
        <v>765000</v>
      </c>
      <c r="H18" s="396">
        <v>2295000</v>
      </c>
      <c r="I18" s="396"/>
      <c r="J18" s="396">
        <v>0</v>
      </c>
      <c r="K18" s="396"/>
      <c r="L18" s="396"/>
      <c r="M18" s="442">
        <v>2295000</v>
      </c>
      <c r="N18" s="436">
        <f t="shared" si="0"/>
        <v>0.00014834647094602934</v>
      </c>
      <c r="O18" s="413"/>
      <c r="P18" s="413"/>
      <c r="Q18" s="415"/>
    </row>
    <row r="19" spans="1:17" ht="15.75" customHeight="1">
      <c r="A19" s="395" t="s">
        <v>20</v>
      </c>
      <c r="B19" s="397">
        <v>22000000</v>
      </c>
      <c r="C19" s="429"/>
      <c r="D19" s="397">
        <v>20223000</v>
      </c>
      <c r="E19" s="397"/>
      <c r="F19" s="396">
        <v>42223000</v>
      </c>
      <c r="G19" s="396">
        <v>52627360</v>
      </c>
      <c r="H19" s="396">
        <v>94850360</v>
      </c>
      <c r="I19" s="396"/>
      <c r="J19" s="396"/>
      <c r="K19" s="396">
        <v>12500000</v>
      </c>
      <c r="L19" s="396"/>
      <c r="M19" s="442">
        <v>107350360</v>
      </c>
      <c r="N19" s="436">
        <f t="shared" si="0"/>
        <v>0.006131031012618921</v>
      </c>
      <c r="O19" s="413"/>
      <c r="P19" s="419"/>
      <c r="Q19" s="415"/>
    </row>
    <row r="20" spans="1:17" ht="15.75" customHeight="1">
      <c r="A20" s="406" t="s">
        <v>253</v>
      </c>
      <c r="B20" s="394">
        <v>659160759.7728196</v>
      </c>
      <c r="C20" s="394">
        <v>152828668.92925346</v>
      </c>
      <c r="D20" s="394">
        <v>854112773.3728915</v>
      </c>
      <c r="E20" s="394">
        <v>273339302.9992615</v>
      </c>
      <c r="F20" s="394">
        <v>1939441505.074226</v>
      </c>
      <c r="G20" s="394">
        <v>233620242.63764888</v>
      </c>
      <c r="H20" s="394">
        <v>2173061747.711875</v>
      </c>
      <c r="I20" s="394"/>
      <c r="J20" s="394">
        <v>-14764255</v>
      </c>
      <c r="K20" s="394">
        <v>12500000</v>
      </c>
      <c r="L20" s="394">
        <v>0</v>
      </c>
      <c r="M20" s="443">
        <v>2170797492.711875</v>
      </c>
      <c r="N20" s="412">
        <f t="shared" si="0"/>
        <v>0.14046450606573743</v>
      </c>
      <c r="O20" s="413"/>
      <c r="P20" s="413"/>
      <c r="Q20" s="415"/>
    </row>
    <row r="21" spans="1:17" ht="15.75" customHeight="1">
      <c r="A21" s="386" t="s">
        <v>21</v>
      </c>
      <c r="B21" s="393"/>
      <c r="C21" s="393"/>
      <c r="D21" s="393"/>
      <c r="E21" s="393"/>
      <c r="F21" s="396"/>
      <c r="G21" s="394"/>
      <c r="H21" s="396"/>
      <c r="I21" s="396"/>
      <c r="J21" s="396"/>
      <c r="K21" s="396"/>
      <c r="L21" s="396"/>
      <c r="M21" s="442"/>
      <c r="N21" s="412"/>
      <c r="O21" s="413"/>
      <c r="P21" s="413"/>
      <c r="Q21" s="415"/>
    </row>
    <row r="22" spans="1:17" ht="15.75" customHeight="1">
      <c r="A22" s="398" t="s">
        <v>41</v>
      </c>
      <c r="B22" s="430">
        <v>0</v>
      </c>
      <c r="C22" s="430">
        <v>0</v>
      </c>
      <c r="D22" s="430">
        <v>0</v>
      </c>
      <c r="E22" s="430">
        <v>0</v>
      </c>
      <c r="F22" s="430">
        <v>0</v>
      </c>
      <c r="G22" s="396">
        <v>45000000</v>
      </c>
      <c r="H22" s="396">
        <v>45000000</v>
      </c>
      <c r="I22" s="396"/>
      <c r="J22" s="396"/>
      <c r="K22" s="396"/>
      <c r="L22" s="396">
        <v>3500000</v>
      </c>
      <c r="M22" s="442">
        <v>48500000</v>
      </c>
      <c r="N22" s="436">
        <f aca="true" t="shared" si="1" ref="N22:N37">+H22/$H$186</f>
        <v>0.0029087543322750854</v>
      </c>
      <c r="P22" s="413"/>
      <c r="Q22" s="415"/>
    </row>
    <row r="23" spans="1:17" ht="15.75" customHeight="1">
      <c r="A23" s="398" t="s">
        <v>42</v>
      </c>
      <c r="B23" s="430">
        <v>0</v>
      </c>
      <c r="C23" s="430">
        <v>0</v>
      </c>
      <c r="D23" s="430">
        <v>0</v>
      </c>
      <c r="E23" s="430">
        <v>0</v>
      </c>
      <c r="F23" s="430">
        <v>0</v>
      </c>
      <c r="G23" s="396">
        <v>5226216.7407</v>
      </c>
      <c r="H23" s="396">
        <v>5226216.7407</v>
      </c>
      <c r="I23" s="396"/>
      <c r="J23" s="396"/>
      <c r="K23" s="396"/>
      <c r="L23" s="396"/>
      <c r="M23" s="442">
        <v>5226216.7407</v>
      </c>
      <c r="N23" s="436">
        <f t="shared" si="1"/>
        <v>0.00033781734635377115</v>
      </c>
      <c r="O23" s="413"/>
      <c r="P23" s="413"/>
      <c r="Q23" s="415"/>
    </row>
    <row r="24" spans="1:17" ht="15.75" customHeight="1">
      <c r="A24" s="398" t="s">
        <v>43</v>
      </c>
      <c r="B24" s="430">
        <v>0</v>
      </c>
      <c r="C24" s="430">
        <v>0</v>
      </c>
      <c r="D24" s="430">
        <v>5000000</v>
      </c>
      <c r="E24" s="430">
        <v>0</v>
      </c>
      <c r="F24" s="430">
        <v>5000000</v>
      </c>
      <c r="G24" s="396">
        <v>16150500</v>
      </c>
      <c r="H24" s="396">
        <v>21150500</v>
      </c>
      <c r="I24" s="396"/>
      <c r="J24" s="396"/>
      <c r="K24" s="396"/>
      <c r="L24" s="396"/>
      <c r="M24" s="442">
        <v>21150500</v>
      </c>
      <c r="N24" s="436">
        <f t="shared" si="1"/>
        <v>0.0013671468556618709</v>
      </c>
      <c r="O24" s="414"/>
      <c r="P24" s="414"/>
      <c r="Q24" s="415"/>
    </row>
    <row r="25" spans="1:15" s="377" customFormat="1" ht="15.75" customHeight="1">
      <c r="A25" s="398" t="s">
        <v>22</v>
      </c>
      <c r="B25" s="430">
        <v>5739998.8</v>
      </c>
      <c r="C25" s="430">
        <v>5739998.8</v>
      </c>
      <c r="D25" s="430">
        <v>5739998.8</v>
      </c>
      <c r="E25" s="430">
        <v>5739998.8</v>
      </c>
      <c r="F25" s="430">
        <v>22959995.2</v>
      </c>
      <c r="G25" s="396">
        <v>26182914.4188</v>
      </c>
      <c r="H25" s="396">
        <v>49142909.6188</v>
      </c>
      <c r="I25" s="396"/>
      <c r="J25" s="396"/>
      <c r="K25" s="396">
        <v>30000000</v>
      </c>
      <c r="L25" s="396"/>
      <c r="M25" s="442">
        <v>79142909.6188</v>
      </c>
      <c r="N25" s="436">
        <f t="shared" si="1"/>
        <v>0.0031765478056508326</v>
      </c>
      <c r="O25" s="378"/>
    </row>
    <row r="26" spans="1:15" ht="15.75" customHeight="1">
      <c r="A26" s="398" t="s">
        <v>44</v>
      </c>
      <c r="B26" s="396">
        <v>8710412.8</v>
      </c>
      <c r="C26" s="396">
        <v>6041441.600000001</v>
      </c>
      <c r="D26" s="396">
        <v>11748636.8</v>
      </c>
      <c r="E26" s="396">
        <v>8580028.8</v>
      </c>
      <c r="F26" s="430">
        <v>35080520</v>
      </c>
      <c r="G26" s="396">
        <v>23602682.14582857</v>
      </c>
      <c r="H26" s="396">
        <v>58683202.145828575</v>
      </c>
      <c r="I26" s="396"/>
      <c r="J26" s="396"/>
      <c r="K26" s="396"/>
      <c r="L26" s="396"/>
      <c r="M26" s="442">
        <v>58683202.145828575</v>
      </c>
      <c r="N26" s="436">
        <f t="shared" si="1"/>
        <v>0.00379322263274341</v>
      </c>
      <c r="O26" s="1"/>
    </row>
    <row r="27" spans="1:15" ht="15.75" customHeight="1">
      <c r="A27" s="398" t="s">
        <v>23</v>
      </c>
      <c r="B27" s="430">
        <v>2000000</v>
      </c>
      <c r="C27" s="430">
        <v>0</v>
      </c>
      <c r="D27" s="430">
        <v>3076288.8</v>
      </c>
      <c r="E27" s="430">
        <v>0</v>
      </c>
      <c r="F27" s="430">
        <v>5076288.8</v>
      </c>
      <c r="G27" s="396">
        <v>39120167.4732</v>
      </c>
      <c r="H27" s="396">
        <v>44196456.2732</v>
      </c>
      <c r="I27" s="396"/>
      <c r="J27" s="396"/>
      <c r="K27" s="396"/>
      <c r="L27" s="396"/>
      <c r="M27" s="442">
        <v>44196456.2732</v>
      </c>
      <c r="N27" s="436">
        <f t="shared" si="1"/>
        <v>0.002856814081241708</v>
      </c>
      <c r="O27" s="1"/>
    </row>
    <row r="28" spans="1:15" ht="15.75" customHeight="1">
      <c r="A28" s="398" t="s">
        <v>271</v>
      </c>
      <c r="B28" s="396">
        <v>10000000</v>
      </c>
      <c r="C28" s="396">
        <v>10000000</v>
      </c>
      <c r="D28" s="396">
        <v>132560183</v>
      </c>
      <c r="E28" s="430">
        <v>10000000</v>
      </c>
      <c r="F28" s="430">
        <v>162560183</v>
      </c>
      <c r="G28" s="396">
        <v>12000000</v>
      </c>
      <c r="H28" s="396">
        <v>174560183</v>
      </c>
      <c r="I28" s="396"/>
      <c r="J28" s="396"/>
      <c r="K28" s="396"/>
      <c r="L28" s="396"/>
      <c r="M28" s="442">
        <v>174560183</v>
      </c>
      <c r="N28" s="436">
        <f t="shared" si="1"/>
        <v>0.01128339307875515</v>
      </c>
      <c r="O28" s="1"/>
    </row>
    <row r="29" spans="1:15" ht="15.75" customHeight="1">
      <c r="A29" s="398" t="s">
        <v>195</v>
      </c>
      <c r="B29" s="396">
        <v>18959000</v>
      </c>
      <c r="C29" s="430">
        <v>0</v>
      </c>
      <c r="D29" s="396">
        <v>17000000</v>
      </c>
      <c r="E29" s="430">
        <v>0</v>
      </c>
      <c r="F29" s="430">
        <v>35959000</v>
      </c>
      <c r="G29" s="396">
        <v>8892838.6</v>
      </c>
      <c r="H29" s="396">
        <v>44851838.6</v>
      </c>
      <c r="I29" s="396"/>
      <c r="J29" s="396"/>
      <c r="K29" s="396"/>
      <c r="L29" s="396"/>
      <c r="M29" s="442">
        <v>44851838.6</v>
      </c>
      <c r="N29" s="436">
        <f t="shared" si="1"/>
        <v>0.0028991773297389533</v>
      </c>
      <c r="O29" s="1"/>
    </row>
    <row r="30" spans="1:15" ht="15.75" customHeight="1">
      <c r="A30" s="398" t="s">
        <v>24</v>
      </c>
      <c r="B30" s="396">
        <v>40000000</v>
      </c>
      <c r="C30" s="430">
        <v>3000000</v>
      </c>
      <c r="D30" s="430">
        <v>42000000</v>
      </c>
      <c r="E30" s="430">
        <v>15000000</v>
      </c>
      <c r="F30" s="430">
        <v>100000000</v>
      </c>
      <c r="G30" s="396">
        <v>20000000</v>
      </c>
      <c r="H30" s="396">
        <v>120000000</v>
      </c>
      <c r="I30" s="396"/>
      <c r="J30" s="396"/>
      <c r="K30" s="396"/>
      <c r="L30" s="396"/>
      <c r="M30" s="442">
        <v>120000000</v>
      </c>
      <c r="N30" s="436">
        <f t="shared" si="1"/>
        <v>0.0077566782194002275</v>
      </c>
      <c r="O30" s="1"/>
    </row>
    <row r="31" spans="1:15" ht="15.75" customHeight="1">
      <c r="A31" s="398" t="s">
        <v>40</v>
      </c>
      <c r="B31" s="393"/>
      <c r="C31" s="430">
        <v>0</v>
      </c>
      <c r="D31" s="430">
        <v>1500000</v>
      </c>
      <c r="E31" s="430">
        <v>0</v>
      </c>
      <c r="F31" s="430">
        <v>1500000</v>
      </c>
      <c r="G31" s="396">
        <v>3000000</v>
      </c>
      <c r="H31" s="396">
        <v>4500000</v>
      </c>
      <c r="I31" s="396"/>
      <c r="J31" s="396"/>
      <c r="K31" s="396"/>
      <c r="L31" s="396"/>
      <c r="M31" s="442">
        <v>4500000</v>
      </c>
      <c r="N31" s="436">
        <f t="shared" si="1"/>
        <v>0.0002908754332275085</v>
      </c>
      <c r="O31" s="1"/>
    </row>
    <row r="32" spans="1:15" ht="15.75" customHeight="1">
      <c r="A32" s="398" t="s">
        <v>46</v>
      </c>
      <c r="B32" s="430">
        <v>4600000</v>
      </c>
      <c r="C32" s="430">
        <v>6860000</v>
      </c>
      <c r="D32" s="430">
        <v>28436251.6515</v>
      </c>
      <c r="E32" s="430">
        <v>0</v>
      </c>
      <c r="F32" s="430">
        <v>39896251.6515</v>
      </c>
      <c r="G32" s="396">
        <v>16800000</v>
      </c>
      <c r="H32" s="396">
        <v>56696251.6515</v>
      </c>
      <c r="I32" s="396"/>
      <c r="J32" s="396"/>
      <c r="K32" s="396">
        <v>30400000</v>
      </c>
      <c r="L32" s="396"/>
      <c r="M32" s="442">
        <v>87096251.6515</v>
      </c>
      <c r="N32" s="436">
        <f t="shared" si="1"/>
        <v>0.0036647881692235353</v>
      </c>
      <c r="O32" s="1"/>
    </row>
    <row r="33" spans="1:15" ht="15.75" customHeight="1">
      <c r="A33" s="398" t="s">
        <v>47</v>
      </c>
      <c r="B33" s="430">
        <v>0</v>
      </c>
      <c r="C33" s="430">
        <v>0</v>
      </c>
      <c r="D33" s="430">
        <v>0</v>
      </c>
      <c r="E33" s="430">
        <v>0</v>
      </c>
      <c r="F33" s="430">
        <v>0</v>
      </c>
      <c r="G33" s="396">
        <v>18000000</v>
      </c>
      <c r="H33" s="396">
        <v>18000000</v>
      </c>
      <c r="I33" s="396"/>
      <c r="J33" s="396"/>
      <c r="K33" s="396"/>
      <c r="L33" s="396"/>
      <c r="M33" s="442">
        <v>18000000</v>
      </c>
      <c r="N33" s="436">
        <f t="shared" si="1"/>
        <v>0.001163501732910034</v>
      </c>
      <c r="O33" s="1"/>
    </row>
    <row r="34" spans="1:15" ht="15.75" customHeight="1">
      <c r="A34" s="398" t="s">
        <v>48</v>
      </c>
      <c r="B34" s="430">
        <v>0</v>
      </c>
      <c r="C34" s="430">
        <v>0</v>
      </c>
      <c r="D34" s="430">
        <v>40000000</v>
      </c>
      <c r="E34" s="430">
        <v>0</v>
      </c>
      <c r="F34" s="430">
        <v>40000000</v>
      </c>
      <c r="G34" s="396">
        <v>55000000</v>
      </c>
      <c r="H34" s="396">
        <v>95000000</v>
      </c>
      <c r="I34" s="396"/>
      <c r="J34" s="396"/>
      <c r="K34" s="396"/>
      <c r="L34" s="396"/>
      <c r="M34" s="442">
        <v>95000000</v>
      </c>
      <c r="N34" s="436">
        <f t="shared" si="1"/>
        <v>0.006140703590358514</v>
      </c>
      <c r="O34" s="1"/>
    </row>
    <row r="35" spans="1:15" ht="15.75" customHeight="1">
      <c r="A35" s="398" t="s">
        <v>49</v>
      </c>
      <c r="B35" s="430">
        <v>0</v>
      </c>
      <c r="C35" s="430">
        <v>0</v>
      </c>
      <c r="D35" s="430">
        <v>0</v>
      </c>
      <c r="E35" s="430">
        <v>0</v>
      </c>
      <c r="F35" s="430">
        <v>0</v>
      </c>
      <c r="G35" s="396">
        <v>22700000</v>
      </c>
      <c r="H35" s="396">
        <v>22700000</v>
      </c>
      <c r="I35" s="396"/>
      <c r="J35" s="396"/>
      <c r="K35" s="396"/>
      <c r="L35" s="396"/>
      <c r="M35" s="442">
        <v>22700000</v>
      </c>
      <c r="N35" s="436">
        <f t="shared" si="1"/>
        <v>0.0014673049631698763</v>
      </c>
      <c r="O35" s="1"/>
    </row>
    <row r="36" spans="1:16" ht="15.75" customHeight="1">
      <c r="A36" s="406" t="s">
        <v>254</v>
      </c>
      <c r="B36" s="394">
        <v>90009411.6</v>
      </c>
      <c r="C36" s="394">
        <v>31641440.4</v>
      </c>
      <c r="D36" s="394">
        <v>287061359.0515</v>
      </c>
      <c r="E36" s="394">
        <v>39320027.6</v>
      </c>
      <c r="F36" s="394">
        <v>448032238.6515</v>
      </c>
      <c r="G36" s="394">
        <v>311675319.3785286</v>
      </c>
      <c r="H36" s="394">
        <v>759707558.0300286</v>
      </c>
      <c r="I36" s="394"/>
      <c r="J36" s="394"/>
      <c r="K36" s="394">
        <v>60400000</v>
      </c>
      <c r="L36" s="394">
        <v>3500000</v>
      </c>
      <c r="M36" s="443">
        <v>823607558.0300286</v>
      </c>
      <c r="N36" s="412">
        <f t="shared" si="1"/>
        <v>0.049106725570710476</v>
      </c>
      <c r="O36" s="1"/>
      <c r="P36" s="4"/>
    </row>
    <row r="37" spans="1:15" s="377" customFormat="1" ht="15.75" customHeight="1">
      <c r="A37" s="406" t="s">
        <v>255</v>
      </c>
      <c r="B37" s="394">
        <v>749170171.3728197</v>
      </c>
      <c r="C37" s="394">
        <v>184470109.32925346</v>
      </c>
      <c r="D37" s="394">
        <v>1141174132.4243915</v>
      </c>
      <c r="E37" s="394">
        <v>312659330.5992615</v>
      </c>
      <c r="F37" s="394">
        <v>2387473743.725726</v>
      </c>
      <c r="G37" s="394">
        <v>545295562.0161774</v>
      </c>
      <c r="H37" s="394">
        <v>2932769305.7419033</v>
      </c>
      <c r="I37" s="394"/>
      <c r="J37" s="394">
        <v>-14764255</v>
      </c>
      <c r="K37" s="394">
        <v>72900000</v>
      </c>
      <c r="L37" s="394">
        <v>3500000</v>
      </c>
      <c r="M37" s="443">
        <v>2994405050.7419033</v>
      </c>
      <c r="N37" s="412">
        <f t="shared" si="1"/>
        <v>0.1895712316364479</v>
      </c>
      <c r="O37" s="378"/>
    </row>
    <row r="38" spans="1:15" ht="15.75" customHeight="1">
      <c r="A38" s="398"/>
      <c r="B38" s="393"/>
      <c r="C38" s="393"/>
      <c r="D38" s="393"/>
      <c r="E38" s="393"/>
      <c r="F38" s="393"/>
      <c r="G38" s="393"/>
      <c r="H38" s="393"/>
      <c r="I38" s="393"/>
      <c r="J38" s="393"/>
      <c r="K38" s="393"/>
      <c r="L38" s="393"/>
      <c r="M38" s="424"/>
      <c r="N38" s="412"/>
      <c r="O38" s="380"/>
    </row>
    <row r="39" spans="1:15" ht="15.75" customHeight="1">
      <c r="A39" s="406" t="s">
        <v>17</v>
      </c>
      <c r="B39" s="394">
        <v>2154210269.9</v>
      </c>
      <c r="C39" s="394">
        <v>834852132</v>
      </c>
      <c r="D39" s="394">
        <v>5696333000.4</v>
      </c>
      <c r="E39" s="394">
        <v>2984507600.6</v>
      </c>
      <c r="F39" s="394">
        <v>11669903002.9</v>
      </c>
      <c r="G39" s="394">
        <v>0</v>
      </c>
      <c r="H39" s="394">
        <v>11669903002.9</v>
      </c>
      <c r="I39" s="394"/>
      <c r="J39" s="394">
        <v>-682124660</v>
      </c>
      <c r="K39" s="394">
        <v>64990000</v>
      </c>
      <c r="L39" s="394">
        <v>-97769844</v>
      </c>
      <c r="M39" s="443">
        <v>10954998498.9</v>
      </c>
      <c r="N39" s="412">
        <f>+H39/$H$186</f>
        <v>0.7543306870425645</v>
      </c>
      <c r="O39" s="411"/>
    </row>
    <row r="40" spans="1:15" ht="15.75" customHeight="1">
      <c r="A40" s="398"/>
      <c r="B40" s="393"/>
      <c r="C40" s="393"/>
      <c r="D40" s="393"/>
      <c r="E40" s="393"/>
      <c r="F40" s="396"/>
      <c r="G40" s="393"/>
      <c r="H40" s="393"/>
      <c r="I40" s="393"/>
      <c r="J40" s="393"/>
      <c r="K40" s="393"/>
      <c r="L40" s="393"/>
      <c r="M40" s="424"/>
      <c r="N40" s="412"/>
      <c r="O40" s="1"/>
    </row>
    <row r="41" spans="1:15" ht="15.75" customHeight="1">
      <c r="A41" s="386" t="s">
        <v>9</v>
      </c>
      <c r="B41" s="407">
        <v>2154210269.9</v>
      </c>
      <c r="C41" s="394"/>
      <c r="D41" s="394"/>
      <c r="E41" s="400"/>
      <c r="F41" s="394">
        <v>2154210269.9</v>
      </c>
      <c r="G41" s="400"/>
      <c r="H41" s="394">
        <v>2154210269.9</v>
      </c>
      <c r="I41" s="394"/>
      <c r="J41" s="394">
        <v>-682124660</v>
      </c>
      <c r="K41" s="394">
        <v>24500000</v>
      </c>
      <c r="L41" s="394"/>
      <c r="M41" s="443">
        <v>1496585609.9</v>
      </c>
      <c r="N41" s="412">
        <f>+H41/$H$186</f>
        <v>0.13924596567118014</v>
      </c>
      <c r="O41" s="1"/>
    </row>
    <row r="42" spans="1:15" s="374" customFormat="1" ht="15.75" customHeight="1">
      <c r="A42" s="399" t="s">
        <v>279</v>
      </c>
      <c r="B42" s="394">
        <v>1785379106.7</v>
      </c>
      <c r="C42" s="400"/>
      <c r="D42" s="400"/>
      <c r="E42" s="400"/>
      <c r="F42" s="402">
        <v>1785379106.7</v>
      </c>
      <c r="G42" s="400"/>
      <c r="H42" s="394">
        <v>1785379106.7</v>
      </c>
      <c r="I42" s="394"/>
      <c r="J42" s="394">
        <v>-682124660</v>
      </c>
      <c r="K42" s="394">
        <v>24500000</v>
      </c>
      <c r="L42" s="394"/>
      <c r="M42" s="443">
        <v>1127754446.7</v>
      </c>
      <c r="N42" s="412">
        <f>+H42/$H$186</f>
        <v>0.11540509358593437</v>
      </c>
      <c r="O42" s="373"/>
    </row>
    <row r="43" spans="1:15" s="374" customFormat="1" ht="15.75" customHeight="1" outlineLevel="1">
      <c r="A43" s="434" t="s">
        <v>306</v>
      </c>
      <c r="B43" s="433">
        <v>1641705722.7</v>
      </c>
      <c r="C43" s="400"/>
      <c r="D43" s="400"/>
      <c r="E43" s="400"/>
      <c r="F43" s="433">
        <v>1641705722.7</v>
      </c>
      <c r="G43" s="400"/>
      <c r="H43" s="433">
        <v>1641705722.7</v>
      </c>
      <c r="I43" s="433"/>
      <c r="J43" s="433">
        <v>-682124660</v>
      </c>
      <c r="K43" s="433"/>
      <c r="L43" s="396"/>
      <c r="M43" s="437">
        <v>959581062.7</v>
      </c>
      <c r="N43" s="436">
        <f>+H43/$H$186</f>
        <v>0.10611819184943166</v>
      </c>
      <c r="O43" s="373"/>
    </row>
    <row r="44" spans="1:15" s="374" customFormat="1" ht="15.75" customHeight="1" outlineLevel="2">
      <c r="A44" s="434" t="s">
        <v>367</v>
      </c>
      <c r="B44" s="433">
        <v>1313364578.4</v>
      </c>
      <c r="C44" s="400"/>
      <c r="D44" s="400"/>
      <c r="E44" s="400"/>
      <c r="F44" s="433">
        <v>1313364578.4</v>
      </c>
      <c r="G44" s="400"/>
      <c r="H44" s="433">
        <v>1313364578.4</v>
      </c>
      <c r="I44" s="433"/>
      <c r="J44" s="433">
        <v>-714394079</v>
      </c>
      <c r="K44" s="433"/>
      <c r="L44" s="396"/>
      <c r="M44" s="446">
        <v>598970499.4000001</v>
      </c>
      <c r="N44" s="436"/>
      <c r="O44" s="373"/>
    </row>
    <row r="45" spans="1:15" s="374" customFormat="1" ht="15.75" customHeight="1" outlineLevel="2">
      <c r="A45" s="434" t="s">
        <v>373</v>
      </c>
      <c r="B45" s="433">
        <v>328341144.3</v>
      </c>
      <c r="C45" s="400"/>
      <c r="D45" s="400"/>
      <c r="E45" s="400"/>
      <c r="F45" s="433">
        <v>328341144.3</v>
      </c>
      <c r="G45" s="400"/>
      <c r="H45" s="433">
        <v>328341144.3</v>
      </c>
      <c r="I45" s="433"/>
      <c r="J45" s="433">
        <v>32269419</v>
      </c>
      <c r="K45" s="433"/>
      <c r="L45" s="396"/>
      <c r="M45" s="446">
        <v>360610563.3</v>
      </c>
      <c r="N45" s="436"/>
      <c r="O45" s="373"/>
    </row>
    <row r="46" spans="1:15" s="374" customFormat="1" ht="15.75" customHeight="1" outlineLevel="1">
      <c r="A46" s="417" t="s">
        <v>288</v>
      </c>
      <c r="B46" s="396">
        <v>26421986</v>
      </c>
      <c r="C46" s="400"/>
      <c r="D46" s="400"/>
      <c r="E46" s="400"/>
      <c r="F46" s="433">
        <v>26421986</v>
      </c>
      <c r="G46" s="400"/>
      <c r="H46" s="397">
        <v>26421986</v>
      </c>
      <c r="I46" s="397"/>
      <c r="J46" s="397"/>
      <c r="K46" s="397">
        <v>24500000</v>
      </c>
      <c r="L46" s="396"/>
      <c r="M46" s="444">
        <v>50921986</v>
      </c>
      <c r="N46" s="436">
        <f>+H46/$H$186</f>
        <v>0.0017078903609958145</v>
      </c>
      <c r="O46" s="373"/>
    </row>
    <row r="47" spans="1:15" s="374" customFormat="1" ht="15.75" customHeight="1" outlineLevel="1">
      <c r="A47" s="417" t="s">
        <v>289</v>
      </c>
      <c r="B47" s="396">
        <v>61465598</v>
      </c>
      <c r="C47" s="394"/>
      <c r="D47" s="400"/>
      <c r="E47" s="400"/>
      <c r="F47" s="433">
        <v>61465598</v>
      </c>
      <c r="G47" s="400"/>
      <c r="H47" s="397">
        <v>61465598</v>
      </c>
      <c r="I47" s="397"/>
      <c r="J47" s="397"/>
      <c r="K47" s="397"/>
      <c r="L47" s="396"/>
      <c r="M47" s="444">
        <v>61465598</v>
      </c>
      <c r="N47" s="436">
        <f>+H47/$H$186</f>
        <v>0.003973073877075085</v>
      </c>
      <c r="O47" s="373"/>
    </row>
    <row r="48" spans="1:15" s="374" customFormat="1" ht="15.75" customHeight="1" outlineLevel="1">
      <c r="A48" s="417" t="s">
        <v>290</v>
      </c>
      <c r="B48" s="397">
        <v>39070800</v>
      </c>
      <c r="C48" s="400"/>
      <c r="D48" s="400"/>
      <c r="E48" s="400"/>
      <c r="F48" s="433">
        <v>39070800</v>
      </c>
      <c r="G48" s="400"/>
      <c r="H48" s="397">
        <v>39070800</v>
      </c>
      <c r="I48" s="397"/>
      <c r="J48" s="397"/>
      <c r="K48" s="397"/>
      <c r="L48" s="396"/>
      <c r="M48" s="444">
        <v>39070800</v>
      </c>
      <c r="N48" s="436">
        <f>+H48/$H$186</f>
        <v>0.00252549686145452</v>
      </c>
      <c r="O48" s="373"/>
    </row>
    <row r="49" spans="1:15" s="374" customFormat="1" ht="15.75" customHeight="1" outlineLevel="1">
      <c r="A49" s="425" t="s">
        <v>370</v>
      </c>
      <c r="B49" s="397">
        <v>9715000</v>
      </c>
      <c r="C49" s="400"/>
      <c r="D49" s="400"/>
      <c r="E49" s="400"/>
      <c r="F49" s="433">
        <v>9715000</v>
      </c>
      <c r="G49" s="400"/>
      <c r="H49" s="397">
        <v>9715000</v>
      </c>
      <c r="I49" s="397"/>
      <c r="J49" s="397"/>
      <c r="K49" s="397"/>
      <c r="L49" s="396"/>
      <c r="M49" s="444">
        <v>9715000</v>
      </c>
      <c r="N49" s="436"/>
      <c r="O49" s="373"/>
    </row>
    <row r="50" spans="1:15" s="374" customFormat="1" ht="15.75" customHeight="1" outlineLevel="1">
      <c r="A50" s="417" t="s">
        <v>342</v>
      </c>
      <c r="B50" s="397">
        <v>7000000</v>
      </c>
      <c r="C50" s="400"/>
      <c r="D50" s="400"/>
      <c r="E50" s="400"/>
      <c r="F50" s="433">
        <v>7000000</v>
      </c>
      <c r="G50" s="400"/>
      <c r="H50" s="397">
        <v>7000000</v>
      </c>
      <c r="I50" s="397"/>
      <c r="J50" s="397"/>
      <c r="K50" s="397"/>
      <c r="L50" s="396"/>
      <c r="M50" s="444">
        <v>7000000</v>
      </c>
      <c r="N50" s="436">
        <f>+H50/$H$186</f>
        <v>0.0004524728961316799</v>
      </c>
      <c r="O50" s="373"/>
    </row>
    <row r="51" spans="1:15" s="374" customFormat="1" ht="15.75" customHeight="1">
      <c r="A51" s="399" t="s">
        <v>10</v>
      </c>
      <c r="B51" s="394">
        <v>113106170</v>
      </c>
      <c r="C51" s="400"/>
      <c r="D51" s="400"/>
      <c r="E51" s="400"/>
      <c r="F51" s="402">
        <v>113106170</v>
      </c>
      <c r="G51" s="400"/>
      <c r="H51" s="394">
        <v>113106170</v>
      </c>
      <c r="I51" s="394"/>
      <c r="J51" s="394"/>
      <c r="K51" s="394"/>
      <c r="L51" s="394"/>
      <c r="M51" s="443">
        <v>113106170</v>
      </c>
      <c r="N51" s="412">
        <f>+H51/$H$186</f>
        <v>0.007311068044323162</v>
      </c>
      <c r="O51" s="373"/>
    </row>
    <row r="52" spans="1:15" s="374" customFormat="1" ht="15.75" customHeight="1" outlineLevel="2">
      <c r="A52" s="417" t="s">
        <v>280</v>
      </c>
      <c r="B52" s="396">
        <v>38757970</v>
      </c>
      <c r="C52" s="400"/>
      <c r="D52" s="400"/>
      <c r="E52" s="400"/>
      <c r="F52" s="433">
        <v>38757970</v>
      </c>
      <c r="G52" s="400"/>
      <c r="H52" s="397">
        <v>38757970</v>
      </c>
      <c r="I52" s="397"/>
      <c r="J52" s="397"/>
      <c r="K52" s="397"/>
      <c r="L52" s="396"/>
      <c r="M52" s="444">
        <v>38757970</v>
      </c>
      <c r="N52" s="436">
        <f>+H52/$H$186</f>
        <v>0.002505275847726395</v>
      </c>
      <c r="O52" s="373"/>
    </row>
    <row r="53" spans="1:15" s="374" customFormat="1" ht="15.75" customHeight="1" outlineLevel="2">
      <c r="A53" s="417" t="s">
        <v>281</v>
      </c>
      <c r="B53" s="396">
        <v>21700000</v>
      </c>
      <c r="C53" s="400"/>
      <c r="D53" s="400"/>
      <c r="E53" s="400"/>
      <c r="F53" s="433">
        <v>21700000</v>
      </c>
      <c r="G53" s="400"/>
      <c r="H53" s="397">
        <v>21700000</v>
      </c>
      <c r="I53" s="397"/>
      <c r="J53" s="397"/>
      <c r="K53" s="397"/>
      <c r="L53" s="396"/>
      <c r="M53" s="444">
        <v>21700000</v>
      </c>
      <c r="N53" s="436">
        <f>+H53/$H$186</f>
        <v>0.0014026659780082078</v>
      </c>
      <c r="O53" s="373"/>
    </row>
    <row r="54" spans="1:15" s="374" customFormat="1" ht="15.75" customHeight="1" outlineLevel="2">
      <c r="A54" s="425" t="s">
        <v>312</v>
      </c>
      <c r="B54" s="396">
        <v>52648200</v>
      </c>
      <c r="C54" s="400"/>
      <c r="D54" s="400"/>
      <c r="E54" s="400"/>
      <c r="F54" s="433">
        <v>52648200</v>
      </c>
      <c r="G54" s="400"/>
      <c r="H54" s="397">
        <v>52648200</v>
      </c>
      <c r="I54" s="397"/>
      <c r="J54" s="397"/>
      <c r="K54" s="397"/>
      <c r="L54" s="396"/>
      <c r="M54" s="444">
        <v>52648200</v>
      </c>
      <c r="N54" s="436">
        <f>+H54/$H$186</f>
        <v>0.003403126218588559</v>
      </c>
      <c r="O54" s="373"/>
    </row>
    <row r="55" spans="1:15" s="374" customFormat="1" ht="15.75" customHeight="1" outlineLevel="2">
      <c r="A55" s="417"/>
      <c r="B55" s="396"/>
      <c r="C55" s="400"/>
      <c r="D55" s="400"/>
      <c r="E55" s="400"/>
      <c r="F55" s="396"/>
      <c r="G55" s="400"/>
      <c r="H55" s="397"/>
      <c r="I55" s="397"/>
      <c r="J55" s="397"/>
      <c r="K55" s="397"/>
      <c r="L55" s="396"/>
      <c r="M55" s="444"/>
      <c r="N55" s="412"/>
      <c r="O55" s="373"/>
    </row>
    <row r="56" spans="1:15" s="374" customFormat="1" ht="15.75" customHeight="1">
      <c r="A56" s="399" t="s">
        <v>154</v>
      </c>
      <c r="B56" s="394">
        <v>143344993.2</v>
      </c>
      <c r="C56" s="422"/>
      <c r="D56" s="396"/>
      <c r="E56" s="394"/>
      <c r="F56" s="402">
        <v>143344993.2</v>
      </c>
      <c r="G56" s="403"/>
      <c r="H56" s="402">
        <v>143344993.2</v>
      </c>
      <c r="I56" s="402"/>
      <c r="J56" s="402"/>
      <c r="K56" s="402"/>
      <c r="L56" s="394"/>
      <c r="M56" s="441">
        <v>143344993.2</v>
      </c>
      <c r="N56" s="412">
        <f>+H56/$H$186</f>
        <v>0.00926567488845428</v>
      </c>
      <c r="O56" s="373"/>
    </row>
    <row r="57" spans="1:15" s="374" customFormat="1" ht="15.75" customHeight="1" outlineLevel="1">
      <c r="A57" s="401" t="s">
        <v>270</v>
      </c>
      <c r="B57" s="396">
        <v>87676212.2</v>
      </c>
      <c r="C57" s="393"/>
      <c r="D57" s="393"/>
      <c r="E57" s="396"/>
      <c r="F57" s="396">
        <v>87676212.2</v>
      </c>
      <c r="G57" s="393"/>
      <c r="H57" s="396">
        <v>87676212.2</v>
      </c>
      <c r="I57" s="396"/>
      <c r="J57" s="396"/>
      <c r="K57" s="396"/>
      <c r="L57" s="396"/>
      <c r="M57" s="442">
        <v>87676212.2</v>
      </c>
      <c r="N57" s="436">
        <f>+H57/$H$186</f>
        <v>0.005667301379427104</v>
      </c>
      <c r="O57" s="373"/>
    </row>
    <row r="58" spans="1:15" s="374" customFormat="1" ht="15.75" customHeight="1" outlineLevel="1">
      <c r="A58" s="401" t="s">
        <v>291</v>
      </c>
      <c r="B58" s="396">
        <v>31378114</v>
      </c>
      <c r="C58" s="393"/>
      <c r="D58" s="393"/>
      <c r="E58" s="396"/>
      <c r="F58" s="396">
        <v>31378114</v>
      </c>
      <c r="G58" s="393"/>
      <c r="H58" s="396">
        <v>31378114</v>
      </c>
      <c r="I58" s="396"/>
      <c r="J58" s="396"/>
      <c r="K58" s="396"/>
      <c r="L58" s="396"/>
      <c r="M58" s="442">
        <v>31378114</v>
      </c>
      <c r="N58" s="436">
        <f>+H58/$H$186</f>
        <v>0.0020282494452471445</v>
      </c>
      <c r="O58" s="373"/>
    </row>
    <row r="59" spans="1:15" s="374" customFormat="1" ht="15.75" customHeight="1" outlineLevel="1">
      <c r="A59" s="440" t="s">
        <v>362</v>
      </c>
      <c r="B59" s="396">
        <v>24290667</v>
      </c>
      <c r="C59" s="393"/>
      <c r="D59" s="393"/>
      <c r="E59" s="396"/>
      <c r="F59" s="396">
        <v>24290667</v>
      </c>
      <c r="G59" s="393"/>
      <c r="H59" s="396">
        <v>24290667</v>
      </c>
      <c r="I59" s="396"/>
      <c r="J59" s="396"/>
      <c r="K59" s="396"/>
      <c r="L59" s="396"/>
      <c r="M59" s="442">
        <v>24290667</v>
      </c>
      <c r="N59" s="436"/>
      <c r="O59" s="373"/>
    </row>
    <row r="60" spans="1:15" s="374" customFormat="1" ht="15.75" customHeight="1" outlineLevel="1">
      <c r="A60" s="401"/>
      <c r="B60" s="396"/>
      <c r="C60" s="393"/>
      <c r="D60" s="393"/>
      <c r="E60" s="396"/>
      <c r="F60" s="396"/>
      <c r="G60" s="393"/>
      <c r="H60" s="396"/>
      <c r="I60" s="396"/>
      <c r="J60" s="396"/>
      <c r="K60" s="396"/>
      <c r="L60" s="396"/>
      <c r="M60" s="442"/>
      <c r="N60" s="412"/>
      <c r="O60" s="373"/>
    </row>
    <row r="61" spans="1:15" s="374" customFormat="1" ht="15.75" customHeight="1">
      <c r="A61" s="399" t="s">
        <v>157</v>
      </c>
      <c r="B61" s="402">
        <v>112380000</v>
      </c>
      <c r="C61" s="403"/>
      <c r="D61" s="403"/>
      <c r="E61" s="403"/>
      <c r="F61" s="402">
        <v>112380000</v>
      </c>
      <c r="G61" s="403"/>
      <c r="H61" s="402">
        <v>112380000</v>
      </c>
      <c r="I61" s="402"/>
      <c r="J61" s="402"/>
      <c r="K61" s="402"/>
      <c r="L61" s="394"/>
      <c r="M61" s="441">
        <v>112380000</v>
      </c>
      <c r="N61" s="412">
        <f>+H61/$H$186</f>
        <v>0.0072641291524683125</v>
      </c>
      <c r="O61" s="421"/>
    </row>
    <row r="62" spans="1:15" s="374" customFormat="1" ht="15.75" customHeight="1" outlineLevel="1">
      <c r="A62" s="401" t="s">
        <v>292</v>
      </c>
      <c r="B62" s="397">
        <v>52400000</v>
      </c>
      <c r="C62" s="403"/>
      <c r="D62" s="403"/>
      <c r="E62" s="403"/>
      <c r="F62" s="397">
        <v>52400000</v>
      </c>
      <c r="G62" s="404"/>
      <c r="H62" s="397">
        <v>52400000</v>
      </c>
      <c r="I62" s="397"/>
      <c r="J62" s="397"/>
      <c r="K62" s="397"/>
      <c r="L62" s="396"/>
      <c r="M62" s="444">
        <v>52400000</v>
      </c>
      <c r="N62" s="436">
        <f>+H62/$H$186</f>
        <v>0.0033870828224714326</v>
      </c>
      <c r="O62" s="373"/>
    </row>
    <row r="63" spans="1:15" s="374" customFormat="1" ht="15.75" customHeight="1" outlineLevel="1">
      <c r="A63" s="401" t="s">
        <v>266</v>
      </c>
      <c r="B63" s="397">
        <v>39620000</v>
      </c>
      <c r="C63" s="403"/>
      <c r="D63" s="403"/>
      <c r="E63" s="403"/>
      <c r="F63" s="397">
        <v>39620000</v>
      </c>
      <c r="G63" s="404"/>
      <c r="H63" s="397">
        <v>39620000</v>
      </c>
      <c r="I63" s="397"/>
      <c r="J63" s="397"/>
      <c r="K63" s="397"/>
      <c r="L63" s="396"/>
      <c r="M63" s="444">
        <v>39620000</v>
      </c>
      <c r="N63" s="436">
        <f>+H63/$H$186</f>
        <v>0.002560996592105308</v>
      </c>
      <c r="O63" s="373"/>
    </row>
    <row r="64" spans="1:15" s="374" customFormat="1" ht="15.75" customHeight="1" outlineLevel="1">
      <c r="A64" s="439" t="s">
        <v>343</v>
      </c>
      <c r="B64" s="397">
        <v>11780000</v>
      </c>
      <c r="C64" s="403"/>
      <c r="D64" s="403"/>
      <c r="E64" s="403"/>
      <c r="F64" s="397">
        <v>11780000</v>
      </c>
      <c r="G64" s="404"/>
      <c r="H64" s="397">
        <v>11780000</v>
      </c>
      <c r="I64" s="397"/>
      <c r="J64" s="397"/>
      <c r="K64" s="397"/>
      <c r="L64" s="396"/>
      <c r="M64" s="444">
        <v>11780000</v>
      </c>
      <c r="N64" s="436">
        <f>+H64/$H$186</f>
        <v>0.0007614472452044556</v>
      </c>
      <c r="O64" s="373"/>
    </row>
    <row r="65" spans="1:15" s="374" customFormat="1" ht="15.75" customHeight="1" outlineLevel="1">
      <c r="A65" s="435" t="s">
        <v>307</v>
      </c>
      <c r="B65" s="397">
        <v>8580000</v>
      </c>
      <c r="C65" s="403"/>
      <c r="D65" s="403"/>
      <c r="E65" s="403"/>
      <c r="F65" s="397">
        <v>8580000</v>
      </c>
      <c r="G65" s="404"/>
      <c r="H65" s="397">
        <v>8580000</v>
      </c>
      <c r="I65" s="397"/>
      <c r="J65" s="397"/>
      <c r="K65" s="397"/>
      <c r="L65" s="396"/>
      <c r="M65" s="444">
        <v>8580000</v>
      </c>
      <c r="N65" s="436">
        <f>+H65/$H$186</f>
        <v>0.0005546024926871162</v>
      </c>
      <c r="O65" s="373"/>
    </row>
    <row r="66" spans="1:15" s="374" customFormat="1" ht="15.75" customHeight="1">
      <c r="A66" s="401"/>
      <c r="B66" s="396"/>
      <c r="C66" s="400"/>
      <c r="D66" s="400"/>
      <c r="E66" s="423"/>
      <c r="F66" s="396"/>
      <c r="G66" s="400"/>
      <c r="H66" s="396"/>
      <c r="I66" s="396"/>
      <c r="J66" s="396"/>
      <c r="K66" s="396"/>
      <c r="L66" s="396"/>
      <c r="M66" s="442"/>
      <c r="N66" s="412"/>
      <c r="O66" s="373"/>
    </row>
    <row r="67" spans="1:15" ht="15.75" customHeight="1">
      <c r="A67" s="386" t="s">
        <v>11</v>
      </c>
      <c r="B67" s="407"/>
      <c r="C67" s="396"/>
      <c r="D67" s="396"/>
      <c r="E67" s="402">
        <v>2984507600.6</v>
      </c>
      <c r="F67" s="394">
        <v>2984507600.6</v>
      </c>
      <c r="G67" s="393"/>
      <c r="H67" s="394">
        <v>2984507600.6</v>
      </c>
      <c r="I67" s="394"/>
      <c r="J67" s="394"/>
      <c r="K67" s="394"/>
      <c r="L67" s="394">
        <v>-39900000</v>
      </c>
      <c r="M67" s="443">
        <v>2944607600.6</v>
      </c>
      <c r="N67" s="412">
        <f aca="true" t="shared" si="2" ref="N67:N107">+H67/$H$186</f>
        <v>0.19291554251007043</v>
      </c>
      <c r="O67" s="1"/>
    </row>
    <row r="68" spans="1:15" ht="15.75" customHeight="1">
      <c r="A68" s="399" t="s">
        <v>282</v>
      </c>
      <c r="B68" s="407"/>
      <c r="C68" s="396"/>
      <c r="D68" s="396"/>
      <c r="E68" s="402">
        <v>167000000</v>
      </c>
      <c r="F68" s="394">
        <v>167000000</v>
      </c>
      <c r="G68" s="393"/>
      <c r="H68" s="402">
        <v>167000000</v>
      </c>
      <c r="I68" s="394"/>
      <c r="J68" s="394"/>
      <c r="K68" s="394"/>
      <c r="L68" s="394">
        <v>-25000000</v>
      </c>
      <c r="M68" s="443">
        <v>142000000</v>
      </c>
      <c r="N68" s="412">
        <f t="shared" si="2"/>
        <v>0.01079471052199865</v>
      </c>
      <c r="O68" s="1"/>
    </row>
    <row r="69" spans="1:15" ht="15.75" customHeight="1" outlineLevel="1">
      <c r="A69" s="420" t="s">
        <v>283</v>
      </c>
      <c r="B69" s="407"/>
      <c r="C69" s="396"/>
      <c r="D69" s="396"/>
      <c r="E69" s="433">
        <v>64000000</v>
      </c>
      <c r="F69" s="433">
        <v>64000000</v>
      </c>
      <c r="G69" s="393"/>
      <c r="H69" s="433">
        <v>64000000</v>
      </c>
      <c r="I69" s="433"/>
      <c r="J69" s="433"/>
      <c r="K69" s="433"/>
      <c r="L69" s="396"/>
      <c r="M69" s="437">
        <v>64000000</v>
      </c>
      <c r="N69" s="436">
        <f t="shared" si="2"/>
        <v>0.004136895050346788</v>
      </c>
      <c r="O69" s="1"/>
    </row>
    <row r="70" spans="1:15" ht="15.75" customHeight="1" outlineLevel="1">
      <c r="A70" s="420" t="s">
        <v>284</v>
      </c>
      <c r="B70" s="407"/>
      <c r="C70" s="396"/>
      <c r="D70" s="396"/>
      <c r="E70" s="433">
        <v>53500000</v>
      </c>
      <c r="F70" s="433">
        <v>53500000</v>
      </c>
      <c r="G70" s="393"/>
      <c r="H70" s="433">
        <v>53500000</v>
      </c>
      <c r="I70" s="433"/>
      <c r="J70" s="433"/>
      <c r="K70" s="433"/>
      <c r="L70" s="396"/>
      <c r="M70" s="437">
        <v>53500000</v>
      </c>
      <c r="N70" s="436">
        <f t="shared" si="2"/>
        <v>0.003458185706149268</v>
      </c>
      <c r="O70" s="1"/>
    </row>
    <row r="71" spans="1:15" ht="15.75" customHeight="1" outlineLevel="1">
      <c r="A71" s="420" t="s">
        <v>330</v>
      </c>
      <c r="B71" s="407"/>
      <c r="C71" s="396"/>
      <c r="D71" s="396"/>
      <c r="E71" s="433">
        <v>25000000</v>
      </c>
      <c r="F71" s="433">
        <v>25000000</v>
      </c>
      <c r="G71" s="393"/>
      <c r="H71" s="433">
        <v>25000000</v>
      </c>
      <c r="I71" s="433"/>
      <c r="J71" s="433"/>
      <c r="K71" s="433"/>
      <c r="L71" s="396">
        <v>-25000000</v>
      </c>
      <c r="M71" s="437">
        <v>0</v>
      </c>
      <c r="N71" s="436">
        <f t="shared" si="2"/>
        <v>0.001615974629041714</v>
      </c>
      <c r="O71" s="1"/>
    </row>
    <row r="72" spans="1:15" ht="15.75" customHeight="1" outlineLevel="1">
      <c r="A72" s="420" t="s">
        <v>285</v>
      </c>
      <c r="B72" s="407"/>
      <c r="C72" s="396"/>
      <c r="D72" s="396"/>
      <c r="E72" s="433">
        <v>21000000</v>
      </c>
      <c r="F72" s="433">
        <v>21000000</v>
      </c>
      <c r="G72" s="393"/>
      <c r="H72" s="433">
        <v>21000000</v>
      </c>
      <c r="I72" s="433"/>
      <c r="J72" s="433"/>
      <c r="K72" s="433"/>
      <c r="L72" s="396"/>
      <c r="M72" s="437">
        <v>21000000</v>
      </c>
      <c r="N72" s="436">
        <f t="shared" si="2"/>
        <v>0.0013574186883950397</v>
      </c>
      <c r="O72" s="1"/>
    </row>
    <row r="73" spans="1:15" ht="15.75" customHeight="1" outlineLevel="1">
      <c r="A73" s="420" t="s">
        <v>286</v>
      </c>
      <c r="B73" s="407"/>
      <c r="C73" s="396"/>
      <c r="D73" s="396"/>
      <c r="E73" s="433">
        <v>3500000</v>
      </c>
      <c r="F73" s="433">
        <v>3500000</v>
      </c>
      <c r="G73" s="393"/>
      <c r="H73" s="433">
        <v>3500000</v>
      </c>
      <c r="I73" s="433"/>
      <c r="J73" s="433"/>
      <c r="K73" s="433"/>
      <c r="L73" s="396"/>
      <c r="M73" s="437">
        <v>3500000</v>
      </c>
      <c r="N73" s="436">
        <f t="shared" si="2"/>
        <v>0.00022623644806583996</v>
      </c>
      <c r="O73" s="1"/>
    </row>
    <row r="74" spans="1:15" ht="15.75" customHeight="1">
      <c r="A74" s="405" t="s">
        <v>359</v>
      </c>
      <c r="B74" s="407"/>
      <c r="C74" s="396"/>
      <c r="D74" s="396"/>
      <c r="E74" s="402">
        <v>174970000</v>
      </c>
      <c r="F74" s="394">
        <v>174970000</v>
      </c>
      <c r="G74" s="393"/>
      <c r="H74" s="394">
        <v>174970000</v>
      </c>
      <c r="I74" s="394"/>
      <c r="J74" s="394"/>
      <c r="K74" s="394"/>
      <c r="L74" s="394">
        <v>0</v>
      </c>
      <c r="M74" s="443">
        <v>174970000</v>
      </c>
      <c r="N74" s="412">
        <f t="shared" si="2"/>
        <v>0.011309883233737147</v>
      </c>
      <c r="O74" s="1"/>
    </row>
    <row r="75" spans="1:15" ht="15.75" customHeight="1" outlineLevel="1">
      <c r="A75" s="420" t="s">
        <v>352</v>
      </c>
      <c r="B75" s="407"/>
      <c r="C75" s="396"/>
      <c r="D75" s="396"/>
      <c r="E75" s="433">
        <v>113670000</v>
      </c>
      <c r="F75" s="433">
        <v>113670000</v>
      </c>
      <c r="G75" s="393"/>
      <c r="H75" s="433">
        <v>113670000</v>
      </c>
      <c r="I75" s="433"/>
      <c r="J75" s="433"/>
      <c r="K75" s="433"/>
      <c r="L75" s="396"/>
      <c r="M75" s="437">
        <v>113670000</v>
      </c>
      <c r="N75" s="436">
        <f t="shared" si="2"/>
        <v>0.007347513443326866</v>
      </c>
      <c r="O75" s="1"/>
    </row>
    <row r="76" spans="1:15" ht="15.75" customHeight="1" outlineLevel="1">
      <c r="A76" s="420" t="s">
        <v>349</v>
      </c>
      <c r="B76" s="407"/>
      <c r="C76" s="396"/>
      <c r="D76" s="396"/>
      <c r="E76" s="433">
        <v>10500000</v>
      </c>
      <c r="F76" s="433">
        <v>10500000</v>
      </c>
      <c r="G76" s="393"/>
      <c r="H76" s="433">
        <v>10500000</v>
      </c>
      <c r="I76" s="433"/>
      <c r="J76" s="433"/>
      <c r="K76" s="433"/>
      <c r="L76" s="396"/>
      <c r="M76" s="437">
        <v>10500000</v>
      </c>
      <c r="N76" s="436">
        <f t="shared" si="2"/>
        <v>0.0006787093441975199</v>
      </c>
      <c r="O76" s="1"/>
    </row>
    <row r="77" spans="1:15" ht="15.75" customHeight="1" outlineLevel="1">
      <c r="A77" s="420" t="s">
        <v>350</v>
      </c>
      <c r="B77" s="407"/>
      <c r="C77" s="396"/>
      <c r="D77" s="396"/>
      <c r="E77" s="433">
        <v>14560000</v>
      </c>
      <c r="F77" s="433">
        <v>14560000</v>
      </c>
      <c r="G77" s="393"/>
      <c r="H77" s="433">
        <v>14560000</v>
      </c>
      <c r="I77" s="433"/>
      <c r="J77" s="433"/>
      <c r="K77" s="433"/>
      <c r="L77" s="396"/>
      <c r="M77" s="437">
        <v>14560000</v>
      </c>
      <c r="N77" s="436">
        <f t="shared" si="2"/>
        <v>0.0009411436239538943</v>
      </c>
      <c r="O77" s="1"/>
    </row>
    <row r="78" spans="1:15" ht="15.75" customHeight="1" outlineLevel="1">
      <c r="A78" s="420" t="s">
        <v>364</v>
      </c>
      <c r="B78" s="407"/>
      <c r="C78" s="396"/>
      <c r="D78" s="396"/>
      <c r="E78" s="433">
        <v>0</v>
      </c>
      <c r="F78" s="433">
        <v>0</v>
      </c>
      <c r="G78" s="393"/>
      <c r="H78" s="433">
        <v>0</v>
      </c>
      <c r="I78" s="433"/>
      <c r="J78" s="433"/>
      <c r="K78" s="433"/>
      <c r="L78" s="396"/>
      <c r="M78" s="437">
        <v>0</v>
      </c>
      <c r="N78" s="436">
        <f t="shared" si="2"/>
        <v>0</v>
      </c>
      <c r="O78" s="1"/>
    </row>
    <row r="79" spans="1:15" ht="15.75" customHeight="1" outlineLevel="1">
      <c r="A79" s="420" t="s">
        <v>351</v>
      </c>
      <c r="B79" s="407"/>
      <c r="C79" s="396"/>
      <c r="D79" s="396"/>
      <c r="E79" s="433">
        <v>21840000</v>
      </c>
      <c r="F79" s="433">
        <v>21840000</v>
      </c>
      <c r="G79" s="393"/>
      <c r="H79" s="433">
        <v>21840000</v>
      </c>
      <c r="I79" s="433"/>
      <c r="J79" s="433"/>
      <c r="K79" s="433"/>
      <c r="L79" s="396"/>
      <c r="M79" s="437">
        <v>21840000</v>
      </c>
      <c r="N79" s="436">
        <f t="shared" si="2"/>
        <v>0.0014117154359308414</v>
      </c>
      <c r="O79" s="1"/>
    </row>
    <row r="80" spans="1:15" ht="15.75" customHeight="1" outlineLevel="1">
      <c r="A80" s="420" t="s">
        <v>377</v>
      </c>
      <c r="B80" s="407"/>
      <c r="C80" s="396"/>
      <c r="D80" s="396"/>
      <c r="E80" s="433">
        <v>3400000</v>
      </c>
      <c r="F80" s="433">
        <v>3400000</v>
      </c>
      <c r="G80" s="393"/>
      <c r="H80" s="433">
        <v>3400000</v>
      </c>
      <c r="I80" s="433"/>
      <c r="J80" s="433"/>
      <c r="K80" s="433"/>
      <c r="L80" s="396"/>
      <c r="M80" s="437">
        <v>3400000</v>
      </c>
      <c r="N80" s="436">
        <f t="shared" si="2"/>
        <v>0.0002197725495496731</v>
      </c>
      <c r="O80" s="1"/>
    </row>
    <row r="81" spans="1:15" ht="15.75" customHeight="1" outlineLevel="1">
      <c r="A81" s="420" t="s">
        <v>378</v>
      </c>
      <c r="B81" s="407"/>
      <c r="C81" s="396"/>
      <c r="D81" s="396"/>
      <c r="E81" s="433">
        <v>11000000</v>
      </c>
      <c r="F81" s="433">
        <v>11000000</v>
      </c>
      <c r="G81" s="393"/>
      <c r="H81" s="433">
        <v>11000000</v>
      </c>
      <c r="I81" s="433"/>
      <c r="J81" s="433"/>
      <c r="K81" s="433"/>
      <c r="L81" s="396"/>
      <c r="M81" s="437">
        <v>11000000</v>
      </c>
      <c r="N81" s="436">
        <f t="shared" si="2"/>
        <v>0.0007110288367783541</v>
      </c>
      <c r="O81" s="1"/>
    </row>
    <row r="82" spans="1:15" ht="15.75" customHeight="1">
      <c r="A82" s="438" t="s">
        <v>358</v>
      </c>
      <c r="B82" s="407"/>
      <c r="C82" s="396"/>
      <c r="D82" s="396"/>
      <c r="E82" s="402">
        <v>341650000</v>
      </c>
      <c r="F82" s="394">
        <v>341650000</v>
      </c>
      <c r="G82" s="393"/>
      <c r="H82" s="394">
        <v>341650000</v>
      </c>
      <c r="I82" s="394"/>
      <c r="J82" s="394"/>
      <c r="K82" s="394"/>
      <c r="L82" s="394">
        <v>-91400000</v>
      </c>
      <c r="M82" s="443">
        <v>250250000</v>
      </c>
      <c r="N82" s="412">
        <f t="shared" si="2"/>
        <v>0.022083909280484065</v>
      </c>
      <c r="O82" s="1"/>
    </row>
    <row r="83" spans="1:15" ht="15.75" customHeight="1" outlineLevel="1">
      <c r="A83" s="420" t="s">
        <v>353</v>
      </c>
      <c r="B83" s="407"/>
      <c r="C83" s="396"/>
      <c r="D83" s="396"/>
      <c r="E83" s="433">
        <v>37245000</v>
      </c>
      <c r="F83" s="433">
        <v>37245000</v>
      </c>
      <c r="G83" s="393"/>
      <c r="H83" s="433">
        <v>37245000</v>
      </c>
      <c r="I83" s="433"/>
      <c r="J83" s="433"/>
      <c r="K83" s="433"/>
      <c r="L83" s="396"/>
      <c r="M83" s="437">
        <v>37245000</v>
      </c>
      <c r="N83" s="436">
        <f t="shared" si="2"/>
        <v>0.0024074790023463455</v>
      </c>
      <c r="O83" s="1"/>
    </row>
    <row r="84" spans="1:15" ht="15.75" customHeight="1" outlineLevel="1">
      <c r="A84" s="420" t="s">
        <v>354</v>
      </c>
      <c r="B84" s="407"/>
      <c r="C84" s="396"/>
      <c r="D84" s="396"/>
      <c r="E84" s="433">
        <v>101250000</v>
      </c>
      <c r="F84" s="433">
        <v>101250000</v>
      </c>
      <c r="G84" s="393"/>
      <c r="H84" s="433">
        <v>101250000</v>
      </c>
      <c r="I84" s="433"/>
      <c r="J84" s="433"/>
      <c r="K84" s="433"/>
      <c r="L84" s="396">
        <v>-56400000</v>
      </c>
      <c r="M84" s="437">
        <v>44850000</v>
      </c>
      <c r="N84" s="436">
        <f t="shared" si="2"/>
        <v>0.006544697247618942</v>
      </c>
      <c r="O84" s="1"/>
    </row>
    <row r="85" spans="1:15" ht="15.75" customHeight="1" outlineLevel="1">
      <c r="A85" s="420" t="s">
        <v>355</v>
      </c>
      <c r="B85" s="407"/>
      <c r="C85" s="396"/>
      <c r="D85" s="396"/>
      <c r="E85" s="433">
        <v>18000000</v>
      </c>
      <c r="F85" s="433">
        <v>18000000</v>
      </c>
      <c r="G85" s="393"/>
      <c r="H85" s="433">
        <v>18000000</v>
      </c>
      <c r="I85" s="433"/>
      <c r="J85" s="433"/>
      <c r="K85" s="433"/>
      <c r="L85" s="396"/>
      <c r="M85" s="437">
        <v>18000000</v>
      </c>
      <c r="N85" s="436">
        <f t="shared" si="2"/>
        <v>0.001163501732910034</v>
      </c>
      <c r="O85" s="1"/>
    </row>
    <row r="86" spans="1:15" ht="15.75" customHeight="1" outlineLevel="1">
      <c r="A86" s="420" t="s">
        <v>356</v>
      </c>
      <c r="B86" s="407"/>
      <c r="C86" s="396"/>
      <c r="D86" s="396"/>
      <c r="E86" s="433">
        <v>122000000</v>
      </c>
      <c r="F86" s="433">
        <v>122000000</v>
      </c>
      <c r="G86" s="393"/>
      <c r="H86" s="433">
        <v>122000000</v>
      </c>
      <c r="I86" s="433"/>
      <c r="J86" s="433"/>
      <c r="K86" s="433"/>
      <c r="L86" s="396"/>
      <c r="M86" s="437">
        <v>122000000</v>
      </c>
      <c r="N86" s="436">
        <f t="shared" si="2"/>
        <v>0.007885956189723565</v>
      </c>
      <c r="O86" s="1"/>
    </row>
    <row r="87" spans="1:15" ht="15.75" customHeight="1" outlineLevel="1">
      <c r="A87" s="420" t="s">
        <v>357</v>
      </c>
      <c r="B87" s="407"/>
      <c r="C87" s="396"/>
      <c r="D87" s="396"/>
      <c r="E87" s="433">
        <v>35000000</v>
      </c>
      <c r="F87" s="433">
        <v>35000000</v>
      </c>
      <c r="G87" s="393"/>
      <c r="H87" s="433">
        <v>35000000</v>
      </c>
      <c r="I87" s="433"/>
      <c r="J87" s="433"/>
      <c r="K87" s="433"/>
      <c r="L87" s="396">
        <v>-35000000</v>
      </c>
      <c r="M87" s="437">
        <v>0</v>
      </c>
      <c r="N87" s="436">
        <f t="shared" si="2"/>
        <v>0.0022623644806583996</v>
      </c>
      <c r="O87" s="1"/>
    </row>
    <row r="88" spans="1:15" ht="15.75" customHeight="1" outlineLevel="1">
      <c r="A88" s="420" t="s">
        <v>350</v>
      </c>
      <c r="B88" s="407"/>
      <c r="C88" s="396"/>
      <c r="D88" s="396"/>
      <c r="E88" s="433">
        <v>10800000</v>
      </c>
      <c r="F88" s="433">
        <v>10800000</v>
      </c>
      <c r="G88" s="393"/>
      <c r="H88" s="433">
        <v>10800000</v>
      </c>
      <c r="I88" s="433"/>
      <c r="J88" s="433"/>
      <c r="K88" s="433"/>
      <c r="L88" s="396"/>
      <c r="M88" s="437">
        <v>10800000</v>
      </c>
      <c r="N88" s="436">
        <f t="shared" si="2"/>
        <v>0.0006981010397460205</v>
      </c>
      <c r="O88" s="1"/>
    </row>
    <row r="89" spans="1:15" ht="15.75" customHeight="1" outlineLevel="1">
      <c r="A89" s="420" t="s">
        <v>363</v>
      </c>
      <c r="B89" s="407"/>
      <c r="C89" s="396"/>
      <c r="D89" s="396"/>
      <c r="E89" s="433">
        <v>17355000</v>
      </c>
      <c r="F89" s="433">
        <v>17355000</v>
      </c>
      <c r="G89" s="393"/>
      <c r="H89" s="433">
        <v>17355000</v>
      </c>
      <c r="I89" s="433"/>
      <c r="J89" s="433"/>
      <c r="K89" s="433"/>
      <c r="L89" s="396"/>
      <c r="M89" s="437">
        <v>17355000</v>
      </c>
      <c r="N89" s="436">
        <f t="shared" si="2"/>
        <v>0.001121809587480758</v>
      </c>
      <c r="O89" s="1"/>
    </row>
    <row r="90" spans="1:15" ht="15.75" customHeight="1">
      <c r="A90" s="405" t="s">
        <v>313</v>
      </c>
      <c r="B90" s="407"/>
      <c r="C90" s="396"/>
      <c r="D90" s="396"/>
      <c r="E90" s="402">
        <v>1750000000</v>
      </c>
      <c r="F90" s="394">
        <v>1750000000</v>
      </c>
      <c r="G90" s="393"/>
      <c r="H90" s="394">
        <v>1750000000</v>
      </c>
      <c r="I90" s="394"/>
      <c r="J90" s="394"/>
      <c r="K90" s="394"/>
      <c r="L90" s="394">
        <v>66500000</v>
      </c>
      <c r="M90" s="443">
        <v>1816500000</v>
      </c>
      <c r="N90" s="412">
        <f t="shared" si="2"/>
        <v>0.11311822403291999</v>
      </c>
      <c r="O90" s="1"/>
    </row>
    <row r="91" spans="1:15" ht="15.75" customHeight="1" outlineLevel="1">
      <c r="A91" s="420" t="s">
        <v>374</v>
      </c>
      <c r="B91" s="407"/>
      <c r="C91" s="396"/>
      <c r="D91" s="396"/>
      <c r="E91" s="433">
        <v>475000000</v>
      </c>
      <c r="F91" s="433">
        <v>475000000</v>
      </c>
      <c r="G91" s="393"/>
      <c r="H91" s="433">
        <v>475000000</v>
      </c>
      <c r="I91" s="433"/>
      <c r="J91" s="433"/>
      <c r="K91" s="433"/>
      <c r="L91" s="396">
        <v>70000000</v>
      </c>
      <c r="M91" s="437">
        <v>545000000</v>
      </c>
      <c r="N91" s="436">
        <f t="shared" si="2"/>
        <v>0.030703517951792568</v>
      </c>
      <c r="O91" s="1"/>
    </row>
    <row r="92" spans="1:15" ht="15.75" customHeight="1" outlineLevel="1">
      <c r="A92" s="420" t="s">
        <v>314</v>
      </c>
      <c r="B92" s="407"/>
      <c r="C92" s="396"/>
      <c r="D92" s="396"/>
      <c r="E92" s="433">
        <v>300000000</v>
      </c>
      <c r="F92" s="433">
        <v>300000000</v>
      </c>
      <c r="G92" s="393"/>
      <c r="H92" s="433">
        <v>300000000</v>
      </c>
      <c r="I92" s="433"/>
      <c r="J92" s="433"/>
      <c r="K92" s="433"/>
      <c r="L92" s="396"/>
      <c r="M92" s="437">
        <v>300000000</v>
      </c>
      <c r="N92" s="436">
        <f t="shared" si="2"/>
        <v>0.01939169554850057</v>
      </c>
      <c r="O92" s="1"/>
    </row>
    <row r="93" spans="1:15" ht="15.75" customHeight="1" outlineLevel="1">
      <c r="A93" s="427" t="s">
        <v>315</v>
      </c>
      <c r="B93" s="407"/>
      <c r="C93" s="396"/>
      <c r="D93" s="396"/>
      <c r="E93" s="433">
        <v>750000000</v>
      </c>
      <c r="F93" s="433">
        <v>750000000</v>
      </c>
      <c r="G93" s="393"/>
      <c r="H93" s="433">
        <v>750000000</v>
      </c>
      <c r="I93" s="433"/>
      <c r="J93" s="433"/>
      <c r="K93" s="433"/>
      <c r="L93" s="396"/>
      <c r="M93" s="437">
        <v>750000000</v>
      </c>
      <c r="N93" s="436">
        <f t="shared" si="2"/>
        <v>0.04847923887125142</v>
      </c>
      <c r="O93" s="1"/>
    </row>
    <row r="94" spans="1:15" ht="15.75" customHeight="1" outlineLevel="1">
      <c r="A94" s="420" t="s">
        <v>316</v>
      </c>
      <c r="B94" s="407"/>
      <c r="C94" s="396"/>
      <c r="D94" s="396"/>
      <c r="E94" s="433">
        <v>155000000</v>
      </c>
      <c r="F94" s="433">
        <v>155000000</v>
      </c>
      <c r="G94" s="393"/>
      <c r="H94" s="433">
        <v>155000000</v>
      </c>
      <c r="I94" s="433"/>
      <c r="J94" s="433"/>
      <c r="K94" s="433"/>
      <c r="L94" s="396"/>
      <c r="M94" s="437">
        <v>155000000</v>
      </c>
      <c r="N94" s="436">
        <f t="shared" si="2"/>
        <v>0.010019042700058626</v>
      </c>
      <c r="O94" s="1"/>
    </row>
    <row r="95" spans="1:15" ht="15.75" customHeight="1" outlineLevel="1">
      <c r="A95" s="420" t="s">
        <v>346</v>
      </c>
      <c r="B95" s="407"/>
      <c r="C95" s="396"/>
      <c r="D95" s="396"/>
      <c r="E95" s="433">
        <v>10000000</v>
      </c>
      <c r="F95" s="433">
        <v>10000000</v>
      </c>
      <c r="G95" s="393"/>
      <c r="H95" s="433">
        <v>10000000</v>
      </c>
      <c r="I95" s="433"/>
      <c r="J95" s="433"/>
      <c r="K95" s="433"/>
      <c r="L95" s="396"/>
      <c r="M95" s="437">
        <v>10000000</v>
      </c>
      <c r="N95" s="436">
        <f t="shared" si="2"/>
        <v>0.0006463898516166856</v>
      </c>
      <c r="O95" s="1"/>
    </row>
    <row r="96" spans="1:15" ht="15.75" customHeight="1" outlineLevel="1">
      <c r="A96" s="427" t="s">
        <v>317</v>
      </c>
      <c r="B96" s="407"/>
      <c r="C96" s="396"/>
      <c r="D96" s="396"/>
      <c r="E96" s="433">
        <v>15000000</v>
      </c>
      <c r="F96" s="433">
        <v>15000000</v>
      </c>
      <c r="G96" s="393"/>
      <c r="H96" s="433">
        <v>15000000</v>
      </c>
      <c r="I96" s="433"/>
      <c r="J96" s="433"/>
      <c r="K96" s="433"/>
      <c r="L96" s="396">
        <v>-3500000</v>
      </c>
      <c r="M96" s="437">
        <v>11500000</v>
      </c>
      <c r="N96" s="436">
        <f t="shared" si="2"/>
        <v>0.0009695847774250284</v>
      </c>
      <c r="O96" s="1"/>
    </row>
    <row r="97" spans="1:15" ht="15.75" customHeight="1" outlineLevel="1">
      <c r="A97" s="427" t="s">
        <v>345</v>
      </c>
      <c r="B97" s="407"/>
      <c r="C97" s="396"/>
      <c r="D97" s="396"/>
      <c r="E97" s="433">
        <v>10000000</v>
      </c>
      <c r="F97" s="433">
        <v>10000000</v>
      </c>
      <c r="G97" s="393"/>
      <c r="H97" s="433">
        <v>10000000</v>
      </c>
      <c r="I97" s="433"/>
      <c r="J97" s="433"/>
      <c r="K97" s="433"/>
      <c r="L97" s="396"/>
      <c r="M97" s="437">
        <v>10000000</v>
      </c>
      <c r="N97" s="436">
        <f t="shared" si="2"/>
        <v>0.0006463898516166856</v>
      </c>
      <c r="O97" s="1"/>
    </row>
    <row r="98" spans="1:15" ht="15.75" customHeight="1" outlineLevel="1">
      <c r="A98" s="427" t="s">
        <v>318</v>
      </c>
      <c r="B98" s="407"/>
      <c r="C98" s="396"/>
      <c r="D98" s="396"/>
      <c r="E98" s="433">
        <v>35000000</v>
      </c>
      <c r="F98" s="433">
        <v>35000000</v>
      </c>
      <c r="G98" s="393"/>
      <c r="H98" s="433">
        <v>35000000</v>
      </c>
      <c r="I98" s="433"/>
      <c r="J98" s="433"/>
      <c r="K98" s="433"/>
      <c r="L98" s="396"/>
      <c r="M98" s="437">
        <v>35000000</v>
      </c>
      <c r="N98" s="436">
        <f t="shared" si="2"/>
        <v>0.0022623644806583996</v>
      </c>
      <c r="O98" s="1"/>
    </row>
    <row r="99" spans="1:15" ht="15.75" customHeight="1">
      <c r="A99" s="405" t="s">
        <v>287</v>
      </c>
      <c r="B99" s="407"/>
      <c r="C99" s="396"/>
      <c r="D99" s="396"/>
      <c r="E99" s="402">
        <v>192800000</v>
      </c>
      <c r="F99" s="394">
        <v>192800000</v>
      </c>
      <c r="G99" s="393"/>
      <c r="H99" s="394">
        <v>192800000</v>
      </c>
      <c r="I99" s="394"/>
      <c r="J99" s="394"/>
      <c r="K99" s="394"/>
      <c r="L99" s="394">
        <v>-30000000</v>
      </c>
      <c r="M99" s="443">
        <v>162800000</v>
      </c>
      <c r="N99" s="412">
        <f t="shared" si="2"/>
        <v>0.012462396339169698</v>
      </c>
      <c r="O99" s="1"/>
    </row>
    <row r="100" spans="1:15" ht="15.75" customHeight="1" outlineLevel="1">
      <c r="A100" s="428" t="s">
        <v>319</v>
      </c>
      <c r="B100" s="407"/>
      <c r="C100" s="396"/>
      <c r="D100" s="396"/>
      <c r="E100" s="396">
        <v>127000000</v>
      </c>
      <c r="F100" s="433">
        <v>127000000</v>
      </c>
      <c r="G100" s="393"/>
      <c r="H100" s="433">
        <v>127000000</v>
      </c>
      <c r="I100" s="433"/>
      <c r="J100" s="433"/>
      <c r="K100" s="433"/>
      <c r="L100" s="396"/>
      <c r="M100" s="437">
        <v>127000000</v>
      </c>
      <c r="N100" s="436">
        <f t="shared" si="2"/>
        <v>0.008209151115531907</v>
      </c>
      <c r="O100" s="1"/>
    </row>
    <row r="101" spans="1:15" ht="15.75" customHeight="1" outlineLevel="1">
      <c r="A101" s="428" t="s">
        <v>320</v>
      </c>
      <c r="B101" s="407"/>
      <c r="C101" s="396"/>
      <c r="D101" s="396"/>
      <c r="E101" s="396">
        <v>6800000</v>
      </c>
      <c r="F101" s="433">
        <v>6800000</v>
      </c>
      <c r="G101" s="393"/>
      <c r="H101" s="433">
        <v>6800000</v>
      </c>
      <c r="I101" s="433"/>
      <c r="J101" s="433"/>
      <c r="K101" s="433"/>
      <c r="L101" s="396"/>
      <c r="M101" s="437">
        <v>6800000</v>
      </c>
      <c r="N101" s="436">
        <f t="shared" si="2"/>
        <v>0.0004395450990993462</v>
      </c>
      <c r="O101" s="1"/>
    </row>
    <row r="102" spans="1:15" ht="15.75" customHeight="1" outlineLevel="1">
      <c r="A102" s="428" t="s">
        <v>308</v>
      </c>
      <c r="B102" s="407"/>
      <c r="C102" s="396"/>
      <c r="D102" s="396"/>
      <c r="E102" s="396">
        <v>45000000</v>
      </c>
      <c r="F102" s="433">
        <v>45000000</v>
      </c>
      <c r="G102" s="393"/>
      <c r="H102" s="433">
        <v>45000000</v>
      </c>
      <c r="I102" s="433"/>
      <c r="J102" s="433"/>
      <c r="K102" s="433"/>
      <c r="L102" s="396">
        <v>-30000000</v>
      </c>
      <c r="M102" s="437">
        <v>15000000</v>
      </c>
      <c r="N102" s="436">
        <f t="shared" si="2"/>
        <v>0.0029087543322750854</v>
      </c>
      <c r="O102" s="1"/>
    </row>
    <row r="103" spans="1:15" ht="15.75" customHeight="1" outlineLevel="2">
      <c r="A103" s="428" t="s">
        <v>321</v>
      </c>
      <c r="B103" s="407"/>
      <c r="C103" s="396"/>
      <c r="D103" s="396"/>
      <c r="E103" s="396">
        <v>15000000</v>
      </c>
      <c r="F103" s="433">
        <v>15000000</v>
      </c>
      <c r="G103" s="393"/>
      <c r="H103" s="433">
        <v>15000000</v>
      </c>
      <c r="I103" s="433"/>
      <c r="J103" s="433"/>
      <c r="K103" s="433"/>
      <c r="L103" s="396"/>
      <c r="M103" s="437">
        <v>15000000</v>
      </c>
      <c r="N103" s="436">
        <f t="shared" si="2"/>
        <v>0.0009695847774250284</v>
      </c>
      <c r="O103" s="1"/>
    </row>
    <row r="104" spans="1:15" ht="15.75" customHeight="1" outlineLevel="2">
      <c r="A104" s="428" t="s">
        <v>322</v>
      </c>
      <c r="B104" s="407"/>
      <c r="C104" s="396"/>
      <c r="D104" s="396"/>
      <c r="E104" s="396">
        <v>15000000</v>
      </c>
      <c r="F104" s="433">
        <v>15000000</v>
      </c>
      <c r="G104" s="393"/>
      <c r="H104" s="433">
        <v>15000000</v>
      </c>
      <c r="I104" s="433"/>
      <c r="J104" s="433"/>
      <c r="K104" s="433"/>
      <c r="L104" s="396">
        <v>-15000000</v>
      </c>
      <c r="M104" s="437">
        <v>0</v>
      </c>
      <c r="N104" s="436">
        <f t="shared" si="2"/>
        <v>0.0009695847774250284</v>
      </c>
      <c r="O104" s="1"/>
    </row>
    <row r="105" spans="1:15" ht="15.75" customHeight="1" outlineLevel="2">
      <c r="A105" s="428" t="s">
        <v>323</v>
      </c>
      <c r="B105" s="407"/>
      <c r="C105" s="396"/>
      <c r="D105" s="396"/>
      <c r="E105" s="396">
        <v>15000000</v>
      </c>
      <c r="F105" s="433">
        <v>15000000</v>
      </c>
      <c r="G105" s="393"/>
      <c r="H105" s="433">
        <v>15000000</v>
      </c>
      <c r="I105" s="433"/>
      <c r="J105" s="433"/>
      <c r="K105" s="433"/>
      <c r="L105" s="396">
        <v>-15000000</v>
      </c>
      <c r="M105" s="437">
        <v>0</v>
      </c>
      <c r="N105" s="436">
        <f t="shared" si="2"/>
        <v>0.0009695847774250284</v>
      </c>
      <c r="O105" s="1"/>
    </row>
    <row r="106" spans="1:15" ht="15.75" customHeight="1" outlineLevel="1">
      <c r="A106" s="428" t="s">
        <v>324</v>
      </c>
      <c r="B106" s="407"/>
      <c r="C106" s="396"/>
      <c r="D106" s="396"/>
      <c r="E106" s="396">
        <v>10000000</v>
      </c>
      <c r="F106" s="433">
        <v>10000000</v>
      </c>
      <c r="G106" s="393"/>
      <c r="H106" s="433">
        <v>10000000</v>
      </c>
      <c r="I106" s="433"/>
      <c r="J106" s="433"/>
      <c r="K106" s="433"/>
      <c r="L106" s="396"/>
      <c r="M106" s="437">
        <v>10000000</v>
      </c>
      <c r="N106" s="436">
        <f t="shared" si="2"/>
        <v>0.0006463898516166856</v>
      </c>
      <c r="O106" s="1"/>
    </row>
    <row r="107" spans="1:15" ht="15.75" customHeight="1" outlineLevel="1">
      <c r="A107" s="428" t="s">
        <v>325</v>
      </c>
      <c r="B107" s="407"/>
      <c r="C107" s="396"/>
      <c r="D107" s="396"/>
      <c r="E107" s="396">
        <v>4000000</v>
      </c>
      <c r="F107" s="433">
        <v>4000000</v>
      </c>
      <c r="G107" s="393"/>
      <c r="H107" s="433">
        <v>4000000</v>
      </c>
      <c r="I107" s="433"/>
      <c r="J107" s="433"/>
      <c r="K107" s="433"/>
      <c r="L107" s="396"/>
      <c r="M107" s="437">
        <v>4000000</v>
      </c>
      <c r="N107" s="436">
        <f t="shared" si="2"/>
        <v>0.00025855594064667426</v>
      </c>
      <c r="O107" s="1"/>
    </row>
    <row r="108" spans="1:15" ht="15.75" customHeight="1" outlineLevel="1">
      <c r="A108" s="420"/>
      <c r="B108" s="407"/>
      <c r="C108" s="396"/>
      <c r="D108" s="396"/>
      <c r="E108" s="433"/>
      <c r="F108" s="394"/>
      <c r="G108" s="393"/>
      <c r="H108" s="394"/>
      <c r="I108" s="394"/>
      <c r="J108" s="394"/>
      <c r="K108" s="394"/>
      <c r="L108" s="394"/>
      <c r="M108" s="443"/>
      <c r="N108" s="436"/>
      <c r="O108" s="1"/>
    </row>
    <row r="109" spans="1:15" ht="15.75" customHeight="1">
      <c r="A109" s="405" t="s">
        <v>326</v>
      </c>
      <c r="B109" s="407"/>
      <c r="C109" s="396"/>
      <c r="D109" s="396"/>
      <c r="E109" s="402">
        <v>358087600.6</v>
      </c>
      <c r="F109" s="394">
        <v>358087600.6</v>
      </c>
      <c r="G109" s="393"/>
      <c r="H109" s="394">
        <v>358087600.6</v>
      </c>
      <c r="I109" s="394"/>
      <c r="J109" s="394"/>
      <c r="K109" s="394"/>
      <c r="L109" s="394">
        <v>40000000</v>
      </c>
      <c r="M109" s="443">
        <v>398087600.6</v>
      </c>
      <c r="N109" s="412">
        <f>+H109/$H$186</f>
        <v>0.0231464191017609</v>
      </c>
      <c r="O109" s="1"/>
    </row>
    <row r="110" spans="1:15" ht="15.75" customHeight="1" outlineLevel="1">
      <c r="A110" s="427" t="s">
        <v>327</v>
      </c>
      <c r="B110" s="407"/>
      <c r="C110" s="396"/>
      <c r="D110" s="396"/>
      <c r="E110" s="433">
        <v>78087600.6</v>
      </c>
      <c r="F110" s="433">
        <v>78087600.6</v>
      </c>
      <c r="G110" s="393"/>
      <c r="H110" s="433">
        <v>78087600.6</v>
      </c>
      <c r="I110" s="433"/>
      <c r="J110" s="433"/>
      <c r="K110" s="433"/>
      <c r="L110" s="433">
        <v>40000000</v>
      </c>
      <c r="M110" s="437">
        <v>118087600.6</v>
      </c>
      <c r="N110" s="436">
        <f>+H110/$H$186</f>
        <v>0.0050475032564937005</v>
      </c>
      <c r="O110" s="1"/>
    </row>
    <row r="111" spans="1:15" ht="15.75" customHeight="1" outlineLevel="1">
      <c r="A111" s="427" t="s">
        <v>328</v>
      </c>
      <c r="B111" s="407"/>
      <c r="C111" s="396"/>
      <c r="D111" s="396"/>
      <c r="E111" s="433">
        <v>200000000</v>
      </c>
      <c r="F111" s="433">
        <v>200000000</v>
      </c>
      <c r="G111" s="393"/>
      <c r="H111" s="433">
        <v>200000000</v>
      </c>
      <c r="I111" s="433"/>
      <c r="J111" s="433"/>
      <c r="K111" s="433"/>
      <c r="L111" s="433"/>
      <c r="M111" s="437">
        <v>200000000</v>
      </c>
      <c r="N111" s="436">
        <f>+H111/$H$186</f>
        <v>0.012927797032333712</v>
      </c>
      <c r="O111" s="1"/>
    </row>
    <row r="112" spans="1:15" ht="15.75" customHeight="1" outlineLevel="1">
      <c r="A112" s="427" t="s">
        <v>347</v>
      </c>
      <c r="B112" s="407"/>
      <c r="C112" s="396"/>
      <c r="D112" s="396"/>
      <c r="E112" s="433">
        <v>22000000</v>
      </c>
      <c r="F112" s="433">
        <v>22000000</v>
      </c>
      <c r="G112" s="393"/>
      <c r="H112" s="433">
        <v>22000000</v>
      </c>
      <c r="I112" s="433"/>
      <c r="J112" s="433"/>
      <c r="K112" s="433"/>
      <c r="L112" s="433"/>
      <c r="M112" s="437">
        <v>22000000</v>
      </c>
      <c r="N112" s="436">
        <f>+H112/$H$186</f>
        <v>0.0014220576735567082</v>
      </c>
      <c r="O112" s="1"/>
    </row>
    <row r="113" spans="1:15" ht="15.75" customHeight="1" outlineLevel="1">
      <c r="A113" s="427" t="s">
        <v>329</v>
      </c>
      <c r="B113" s="407"/>
      <c r="C113" s="396"/>
      <c r="D113" s="396"/>
      <c r="E113" s="433">
        <v>58000000</v>
      </c>
      <c r="F113" s="433">
        <v>58000000</v>
      </c>
      <c r="G113" s="393"/>
      <c r="H113" s="433">
        <v>58000000</v>
      </c>
      <c r="I113" s="433"/>
      <c r="J113" s="433"/>
      <c r="K113" s="433"/>
      <c r="L113" s="433"/>
      <c r="M113" s="437">
        <v>58000000</v>
      </c>
      <c r="N113" s="436">
        <f>+H113/$H$186</f>
        <v>0.0037490611393767768</v>
      </c>
      <c r="O113" s="1"/>
    </row>
    <row r="114" spans="1:15" ht="15.75" customHeight="1">
      <c r="A114" s="427"/>
      <c r="B114" s="407"/>
      <c r="C114" s="396"/>
      <c r="D114" s="396"/>
      <c r="E114" s="433"/>
      <c r="F114" s="433"/>
      <c r="G114" s="393"/>
      <c r="H114" s="394"/>
      <c r="I114" s="394"/>
      <c r="J114" s="394"/>
      <c r="K114" s="394"/>
      <c r="L114" s="394"/>
      <c r="M114" s="443"/>
      <c r="N114" s="436"/>
      <c r="O114" s="1"/>
    </row>
    <row r="115" spans="1:15" s="374" customFormat="1" ht="15.75" customHeight="1">
      <c r="A115" s="386" t="s">
        <v>12</v>
      </c>
      <c r="B115" s="407"/>
      <c r="C115" s="394">
        <v>834852132</v>
      </c>
      <c r="D115" s="396"/>
      <c r="E115" s="393"/>
      <c r="F115" s="394">
        <v>834852132</v>
      </c>
      <c r="G115" s="396"/>
      <c r="H115" s="394">
        <v>834852132</v>
      </c>
      <c r="I115" s="394"/>
      <c r="J115" s="394"/>
      <c r="K115" s="394"/>
      <c r="L115" s="394">
        <v>-57869844</v>
      </c>
      <c r="M115" s="443">
        <v>776982288</v>
      </c>
      <c r="N115" s="412">
        <f>+H115/$H$186</f>
        <v>0.05396399457253536</v>
      </c>
      <c r="O115" s="373"/>
    </row>
    <row r="116" spans="1:15" s="374" customFormat="1" ht="15.75" customHeight="1">
      <c r="A116" s="399" t="s">
        <v>179</v>
      </c>
      <c r="B116" s="407"/>
      <c r="C116" s="407">
        <v>61207680</v>
      </c>
      <c r="D116" s="396"/>
      <c r="E116" s="393"/>
      <c r="F116" s="394">
        <v>61207680</v>
      </c>
      <c r="G116" s="393"/>
      <c r="H116" s="394">
        <v>61207680</v>
      </c>
      <c r="I116" s="394"/>
      <c r="J116" s="394"/>
      <c r="K116" s="394"/>
      <c r="L116" s="394"/>
      <c r="M116" s="443">
        <v>61207680</v>
      </c>
      <c r="N116" s="412">
        <f>+H116/$H$186</f>
        <v>0.003956402319300158</v>
      </c>
      <c r="O116" s="373"/>
    </row>
    <row r="117" spans="1:15" s="374" customFormat="1" ht="15.75" customHeight="1" outlineLevel="1">
      <c r="A117" s="418" t="s">
        <v>297</v>
      </c>
      <c r="B117" s="407"/>
      <c r="C117" s="430">
        <v>32207680</v>
      </c>
      <c r="D117" s="396"/>
      <c r="E117" s="404"/>
      <c r="F117" s="433">
        <v>32207680</v>
      </c>
      <c r="G117" s="404"/>
      <c r="H117" s="433">
        <v>32207680</v>
      </c>
      <c r="I117" s="397"/>
      <c r="J117" s="397"/>
      <c r="K117" s="397"/>
      <c r="L117" s="397"/>
      <c r="M117" s="444">
        <v>32207680</v>
      </c>
      <c r="N117" s="436">
        <f>+H117/$H$186</f>
        <v>0.0020818717496117693</v>
      </c>
      <c r="O117" s="373"/>
    </row>
    <row r="118" spans="1:15" s="374" customFormat="1" ht="15.75" customHeight="1" outlineLevel="1">
      <c r="A118" s="418" t="s">
        <v>298</v>
      </c>
      <c r="B118" s="407"/>
      <c r="C118" s="430">
        <v>28000000</v>
      </c>
      <c r="D118" s="396"/>
      <c r="E118" s="404"/>
      <c r="F118" s="433">
        <v>28000000</v>
      </c>
      <c r="G118" s="404"/>
      <c r="H118" s="433">
        <v>28000000</v>
      </c>
      <c r="I118" s="397"/>
      <c r="J118" s="397"/>
      <c r="K118" s="397"/>
      <c r="L118" s="397"/>
      <c r="M118" s="444">
        <v>28000000</v>
      </c>
      <c r="N118" s="436">
        <f>+H118/$H$186</f>
        <v>0.0018098915845267197</v>
      </c>
      <c r="O118" s="373"/>
    </row>
    <row r="119" spans="1:15" s="374" customFormat="1" ht="15.75" customHeight="1" outlineLevel="1">
      <c r="A119" s="418" t="s">
        <v>299</v>
      </c>
      <c r="B119" s="407"/>
      <c r="C119" s="430">
        <v>1000000</v>
      </c>
      <c r="D119" s="396"/>
      <c r="E119" s="404"/>
      <c r="F119" s="433">
        <v>1000000</v>
      </c>
      <c r="G119" s="404"/>
      <c r="H119" s="433">
        <v>1000000</v>
      </c>
      <c r="I119" s="397"/>
      <c r="J119" s="397"/>
      <c r="K119" s="397"/>
      <c r="L119" s="397"/>
      <c r="M119" s="444">
        <v>1000000</v>
      </c>
      <c r="N119" s="436">
        <f>+H119/$H$186</f>
        <v>6.463898516166857E-05</v>
      </c>
      <c r="O119" s="373"/>
    </row>
    <row r="120" spans="1:15" s="374" customFormat="1" ht="15.75" customHeight="1" outlineLevel="1">
      <c r="A120" s="399"/>
      <c r="B120" s="407"/>
      <c r="C120" s="407"/>
      <c r="D120" s="396"/>
      <c r="E120" s="393"/>
      <c r="F120" s="394"/>
      <c r="G120" s="393"/>
      <c r="H120" s="394"/>
      <c r="I120" s="394"/>
      <c r="J120" s="394"/>
      <c r="K120" s="394"/>
      <c r="L120" s="394"/>
      <c r="M120" s="443"/>
      <c r="N120" s="412"/>
      <c r="O120" s="373"/>
    </row>
    <row r="121" spans="1:15" s="374" customFormat="1" ht="15.75" customHeight="1">
      <c r="A121" s="399" t="s">
        <v>13</v>
      </c>
      <c r="B121" s="394"/>
      <c r="C121" s="394">
        <v>320000000</v>
      </c>
      <c r="D121" s="393"/>
      <c r="E121" s="393"/>
      <c r="F121" s="394">
        <v>320000000</v>
      </c>
      <c r="G121" s="393"/>
      <c r="H121" s="394">
        <v>320000000</v>
      </c>
      <c r="I121" s="394"/>
      <c r="J121" s="394"/>
      <c r="K121" s="394"/>
      <c r="L121" s="394"/>
      <c r="M121" s="443">
        <v>320000000</v>
      </c>
      <c r="N121" s="412">
        <f>+H121/$H$186</f>
        <v>0.02068447525173394</v>
      </c>
      <c r="O121" s="373"/>
    </row>
    <row r="122" spans="1:15" s="374" customFormat="1" ht="15.75" customHeight="1" outlineLevel="1">
      <c r="A122" s="427" t="s">
        <v>14</v>
      </c>
      <c r="B122" s="396"/>
      <c r="C122" s="433">
        <v>187800000</v>
      </c>
      <c r="D122" s="393"/>
      <c r="E122" s="393"/>
      <c r="F122" s="433">
        <v>187800000</v>
      </c>
      <c r="G122" s="393"/>
      <c r="H122" s="433">
        <v>187800000</v>
      </c>
      <c r="I122" s="396"/>
      <c r="J122" s="396"/>
      <c r="K122" s="396"/>
      <c r="L122" s="396"/>
      <c r="M122" s="442">
        <v>187800000</v>
      </c>
      <c r="N122" s="436">
        <f>+H122/$H$186</f>
        <v>0.012139201413361356</v>
      </c>
      <c r="O122" s="373"/>
    </row>
    <row r="123" spans="1:15" s="374" customFormat="1" ht="15.75" customHeight="1" outlineLevel="2">
      <c r="A123" s="401" t="s">
        <v>309</v>
      </c>
      <c r="B123" s="396"/>
      <c r="C123" s="396">
        <v>96000000</v>
      </c>
      <c r="D123" s="393"/>
      <c r="E123" s="393"/>
      <c r="F123" s="433">
        <v>96000000</v>
      </c>
      <c r="G123" s="393"/>
      <c r="H123" s="433">
        <v>96000000</v>
      </c>
      <c r="I123" s="396"/>
      <c r="J123" s="396"/>
      <c r="K123" s="396"/>
      <c r="L123" s="396"/>
      <c r="M123" s="442">
        <v>96000000</v>
      </c>
      <c r="N123" s="436">
        <f>+H123/$H$186</f>
        <v>0.006205342575520182</v>
      </c>
      <c r="O123" s="373"/>
    </row>
    <row r="124" spans="1:15" s="374" customFormat="1" ht="15.75" customHeight="1" outlineLevel="2">
      <c r="A124" s="401" t="s">
        <v>331</v>
      </c>
      <c r="B124" s="396"/>
      <c r="C124" s="396">
        <v>91800000</v>
      </c>
      <c r="D124" s="393"/>
      <c r="E124" s="393"/>
      <c r="F124" s="433">
        <v>91800000</v>
      </c>
      <c r="G124" s="393"/>
      <c r="H124" s="433">
        <v>91800000</v>
      </c>
      <c r="I124" s="396"/>
      <c r="J124" s="396"/>
      <c r="K124" s="396"/>
      <c r="L124" s="396"/>
      <c r="M124" s="442">
        <v>91800000</v>
      </c>
      <c r="N124" s="436">
        <f>+H124/$H$186</f>
        <v>0.005933858837841174</v>
      </c>
      <c r="O124" s="373"/>
    </row>
    <row r="125" spans="1:15" s="374" customFormat="1" ht="15.75" customHeight="1" outlineLevel="1">
      <c r="A125" s="427" t="s">
        <v>332</v>
      </c>
      <c r="B125" s="396"/>
      <c r="C125" s="433">
        <v>42200000</v>
      </c>
      <c r="D125" s="393"/>
      <c r="E125" s="393"/>
      <c r="F125" s="433">
        <v>42200000</v>
      </c>
      <c r="G125" s="393"/>
      <c r="H125" s="433">
        <v>42200000</v>
      </c>
      <c r="I125" s="396"/>
      <c r="J125" s="396"/>
      <c r="K125" s="396"/>
      <c r="L125" s="396"/>
      <c r="M125" s="442">
        <v>42200000</v>
      </c>
      <c r="N125" s="436">
        <f aca="true" t="shared" si="3" ref="N125:N131">+H125/$H$186</f>
        <v>0.002727765173822413</v>
      </c>
      <c r="O125" s="373"/>
    </row>
    <row r="126" spans="1:15" s="374" customFormat="1" ht="15.75" customHeight="1" outlineLevel="2">
      <c r="A126" s="401" t="s">
        <v>333</v>
      </c>
      <c r="B126" s="396"/>
      <c r="C126" s="396">
        <v>21000000</v>
      </c>
      <c r="D126" s="393"/>
      <c r="E126" s="393"/>
      <c r="F126" s="433">
        <v>21000000</v>
      </c>
      <c r="G126" s="393"/>
      <c r="H126" s="433">
        <v>21000000</v>
      </c>
      <c r="I126" s="396"/>
      <c r="J126" s="396"/>
      <c r="K126" s="396"/>
      <c r="L126" s="396"/>
      <c r="M126" s="442">
        <v>21000000</v>
      </c>
      <c r="N126" s="436">
        <f t="shared" si="3"/>
        <v>0.0013574186883950397</v>
      </c>
      <c r="O126" s="373"/>
    </row>
    <row r="127" spans="1:15" s="374" customFormat="1" ht="15.75" customHeight="1" outlineLevel="2">
      <c r="A127" s="401" t="s">
        <v>334</v>
      </c>
      <c r="B127" s="396"/>
      <c r="C127" s="396">
        <v>2500000</v>
      </c>
      <c r="D127" s="393"/>
      <c r="E127" s="393"/>
      <c r="F127" s="433">
        <v>2500000</v>
      </c>
      <c r="G127" s="393"/>
      <c r="H127" s="433">
        <v>2500000</v>
      </c>
      <c r="I127" s="396"/>
      <c r="J127" s="396"/>
      <c r="K127" s="396"/>
      <c r="L127" s="396"/>
      <c r="M127" s="442">
        <v>2500000</v>
      </c>
      <c r="N127" s="436">
        <f t="shared" si="3"/>
        <v>0.0001615974629041714</v>
      </c>
      <c r="O127" s="373"/>
    </row>
    <row r="128" spans="1:15" s="374" customFormat="1" ht="15.75" customHeight="1" outlineLevel="2">
      <c r="A128" s="401" t="s">
        <v>335</v>
      </c>
      <c r="B128" s="396"/>
      <c r="C128" s="396">
        <v>10200000</v>
      </c>
      <c r="D128" s="393"/>
      <c r="E128" s="393"/>
      <c r="F128" s="433">
        <v>10200000</v>
      </c>
      <c r="G128" s="393"/>
      <c r="H128" s="433">
        <v>10200000</v>
      </c>
      <c r="I128" s="396"/>
      <c r="J128" s="396"/>
      <c r="K128" s="396"/>
      <c r="L128" s="396"/>
      <c r="M128" s="442">
        <v>10200000</v>
      </c>
      <c r="N128" s="436">
        <f t="shared" si="3"/>
        <v>0.0006593176486490193</v>
      </c>
      <c r="O128" s="373"/>
    </row>
    <row r="129" spans="1:15" s="374" customFormat="1" ht="15.75" customHeight="1" outlineLevel="2">
      <c r="A129" s="401" t="s">
        <v>310</v>
      </c>
      <c r="B129" s="396"/>
      <c r="C129" s="396">
        <v>5000000</v>
      </c>
      <c r="D129" s="393"/>
      <c r="E129" s="393"/>
      <c r="F129" s="433">
        <v>5000000</v>
      </c>
      <c r="G129" s="393"/>
      <c r="H129" s="433">
        <v>5000000</v>
      </c>
      <c r="I129" s="396"/>
      <c r="J129" s="396"/>
      <c r="K129" s="396"/>
      <c r="L129" s="396"/>
      <c r="M129" s="442">
        <v>5000000</v>
      </c>
      <c r="N129" s="436">
        <f t="shared" si="3"/>
        <v>0.0003231949258083428</v>
      </c>
      <c r="O129" s="373"/>
    </row>
    <row r="130" spans="1:15" s="374" customFormat="1" ht="15.75" customHeight="1" outlineLevel="2">
      <c r="A130" s="401" t="s">
        <v>361</v>
      </c>
      <c r="B130" s="396"/>
      <c r="C130" s="396">
        <v>3500000</v>
      </c>
      <c r="D130" s="393"/>
      <c r="E130" s="393"/>
      <c r="F130" s="433">
        <v>3500000</v>
      </c>
      <c r="G130" s="393"/>
      <c r="H130" s="433">
        <v>3500000</v>
      </c>
      <c r="I130" s="396"/>
      <c r="J130" s="396"/>
      <c r="K130" s="396"/>
      <c r="L130" s="396"/>
      <c r="M130" s="442">
        <v>3500000</v>
      </c>
      <c r="N130" s="436">
        <f t="shared" si="3"/>
        <v>0.00022623644806583996</v>
      </c>
      <c r="O130" s="373"/>
    </row>
    <row r="131" spans="1:15" s="374" customFormat="1" ht="15.75" customHeight="1" outlineLevel="1">
      <c r="A131" s="427" t="s">
        <v>336</v>
      </c>
      <c r="B131" s="396"/>
      <c r="C131" s="396">
        <v>90000000</v>
      </c>
      <c r="D131" s="393"/>
      <c r="E131" s="393"/>
      <c r="F131" s="433">
        <v>90000000</v>
      </c>
      <c r="G131" s="393"/>
      <c r="H131" s="433">
        <v>90000000</v>
      </c>
      <c r="I131" s="396"/>
      <c r="J131" s="396"/>
      <c r="K131" s="396"/>
      <c r="L131" s="396"/>
      <c r="M131" s="442">
        <v>90000000</v>
      </c>
      <c r="N131" s="436">
        <f t="shared" si="3"/>
        <v>0.005817508664550171</v>
      </c>
      <c r="O131" s="373"/>
    </row>
    <row r="132" spans="1:15" s="374" customFormat="1" ht="15.75" customHeight="1" outlineLevel="1">
      <c r="A132" s="427"/>
      <c r="B132" s="396"/>
      <c r="C132" s="396"/>
      <c r="D132" s="393"/>
      <c r="E132" s="393"/>
      <c r="F132" s="394"/>
      <c r="G132" s="393"/>
      <c r="H132" s="394"/>
      <c r="I132" s="396"/>
      <c r="J132" s="396"/>
      <c r="K132" s="396"/>
      <c r="L132" s="396"/>
      <c r="M132" s="442"/>
      <c r="N132" s="436"/>
      <c r="O132" s="373"/>
    </row>
    <row r="133" spans="1:15" s="374" customFormat="1" ht="15.75" customHeight="1">
      <c r="A133" s="399" t="s">
        <v>0</v>
      </c>
      <c r="B133" s="394"/>
      <c r="C133" s="394">
        <v>234910800</v>
      </c>
      <c r="D133" s="393"/>
      <c r="E133" s="393"/>
      <c r="F133" s="394">
        <v>234910800</v>
      </c>
      <c r="G133" s="393"/>
      <c r="H133" s="394">
        <v>234910800</v>
      </c>
      <c r="I133" s="394"/>
      <c r="J133" s="394"/>
      <c r="K133" s="394"/>
      <c r="L133" s="394">
        <v>-57869844</v>
      </c>
      <c r="M133" s="443">
        <v>177040956</v>
      </c>
      <c r="N133" s="412">
        <f aca="true" t="shared" si="4" ref="N133:N138">+H133/$H$186</f>
        <v>0.015184395715515692</v>
      </c>
      <c r="O133" s="373"/>
    </row>
    <row r="134" spans="1:15" s="374" customFormat="1" ht="15.75" customHeight="1" outlineLevel="1">
      <c r="A134" s="427" t="s">
        <v>348</v>
      </c>
      <c r="B134" s="394"/>
      <c r="C134" s="396">
        <v>15000000</v>
      </c>
      <c r="D134" s="393"/>
      <c r="E134" s="393"/>
      <c r="F134" s="433">
        <v>15000000</v>
      </c>
      <c r="G134" s="393"/>
      <c r="H134" s="433">
        <v>15000000</v>
      </c>
      <c r="I134" s="397"/>
      <c r="J134" s="397"/>
      <c r="K134" s="397"/>
      <c r="L134" s="397"/>
      <c r="M134" s="444">
        <v>15000000</v>
      </c>
      <c r="N134" s="436">
        <f t="shared" si="4"/>
        <v>0.0009695847774250284</v>
      </c>
      <c r="O134" s="373"/>
    </row>
    <row r="135" spans="1:16" s="374" customFormat="1" ht="15.75" customHeight="1" outlineLevel="1">
      <c r="A135" s="427" t="s">
        <v>372</v>
      </c>
      <c r="B135" s="394"/>
      <c r="C135" s="396">
        <v>204910800</v>
      </c>
      <c r="D135" s="396"/>
      <c r="E135" s="393"/>
      <c r="F135" s="433">
        <v>204910800</v>
      </c>
      <c r="G135" s="393"/>
      <c r="H135" s="433">
        <v>204910800</v>
      </c>
      <c r="I135" s="397"/>
      <c r="J135" s="397"/>
      <c r="K135" s="397"/>
      <c r="L135" s="397">
        <v>-67869844</v>
      </c>
      <c r="M135" s="444">
        <v>137040956</v>
      </c>
      <c r="N135" s="436">
        <f t="shared" si="4"/>
        <v>0.013245226160665634</v>
      </c>
      <c r="O135" s="373"/>
      <c r="P135" s="448"/>
    </row>
    <row r="136" spans="1:16" s="374" customFormat="1" ht="15.75" customHeight="1" outlineLevel="2">
      <c r="A136" s="425" t="s">
        <v>277</v>
      </c>
      <c r="B136" s="394"/>
      <c r="C136" s="396">
        <v>182160800</v>
      </c>
      <c r="D136" s="396"/>
      <c r="E136" s="393"/>
      <c r="F136" s="433">
        <v>182160800</v>
      </c>
      <c r="G136" s="393"/>
      <c r="H136" s="433">
        <v>182160800</v>
      </c>
      <c r="I136" s="397"/>
      <c r="J136" s="397"/>
      <c r="K136" s="397"/>
      <c r="L136" s="433">
        <v>-100253716</v>
      </c>
      <c r="M136" s="444">
        <v>81907084</v>
      </c>
      <c r="N136" s="436">
        <f t="shared" si="4"/>
        <v>0.011774689248237675</v>
      </c>
      <c r="O136" s="447"/>
      <c r="P136" s="448"/>
    </row>
    <row r="137" spans="1:16" s="374" customFormat="1" ht="15.75" customHeight="1" outlineLevel="2">
      <c r="A137" s="425" t="s">
        <v>276</v>
      </c>
      <c r="B137" s="394"/>
      <c r="C137" s="396">
        <v>22750000</v>
      </c>
      <c r="D137" s="396"/>
      <c r="E137" s="393"/>
      <c r="F137" s="433">
        <v>22750000</v>
      </c>
      <c r="G137" s="393"/>
      <c r="H137" s="433">
        <v>22750000</v>
      </c>
      <c r="I137" s="397"/>
      <c r="J137" s="397"/>
      <c r="K137" s="397"/>
      <c r="L137" s="433">
        <v>32383872</v>
      </c>
      <c r="M137" s="444">
        <v>55133872</v>
      </c>
      <c r="N137" s="436">
        <f t="shared" si="4"/>
        <v>0.0014705369124279597</v>
      </c>
      <c r="O137" s="447"/>
      <c r="P137" s="449"/>
    </row>
    <row r="138" spans="1:15" s="374" customFormat="1" ht="15.75" customHeight="1" outlineLevel="1">
      <c r="A138" s="427" t="s">
        <v>337</v>
      </c>
      <c r="B138" s="394"/>
      <c r="C138" s="396">
        <v>15000000</v>
      </c>
      <c r="D138" s="396"/>
      <c r="E138" s="393"/>
      <c r="F138" s="433">
        <v>15000000</v>
      </c>
      <c r="G138" s="393"/>
      <c r="H138" s="433">
        <v>15000000</v>
      </c>
      <c r="I138" s="397"/>
      <c r="J138" s="397"/>
      <c r="K138" s="397"/>
      <c r="L138" s="433"/>
      <c r="M138" s="444">
        <v>15000000</v>
      </c>
      <c r="N138" s="436">
        <f t="shared" si="4"/>
        <v>0.0009695847774250284</v>
      </c>
      <c r="O138" s="373"/>
    </row>
    <row r="139" spans="1:15" s="374" customFormat="1" ht="15.75" customHeight="1" outlineLevel="1">
      <c r="A139" s="427" t="s">
        <v>376</v>
      </c>
      <c r="B139" s="394"/>
      <c r="C139" s="396"/>
      <c r="D139" s="396"/>
      <c r="E139" s="393"/>
      <c r="F139" s="433"/>
      <c r="G139" s="393"/>
      <c r="H139" s="433"/>
      <c r="I139" s="397"/>
      <c r="J139" s="397"/>
      <c r="K139" s="397"/>
      <c r="L139" s="433">
        <v>10000000</v>
      </c>
      <c r="M139" s="444">
        <v>10000000</v>
      </c>
      <c r="N139" s="436"/>
      <c r="O139" s="373"/>
    </row>
    <row r="140" spans="1:15" s="374" customFormat="1" ht="15.75" customHeight="1" outlineLevel="1">
      <c r="A140" s="426"/>
      <c r="B140" s="394"/>
      <c r="C140" s="396"/>
      <c r="D140" s="396"/>
      <c r="E140" s="393"/>
      <c r="F140" s="394"/>
      <c r="G140" s="393"/>
      <c r="H140" s="394"/>
      <c r="I140" s="397"/>
      <c r="J140" s="397"/>
      <c r="K140" s="397"/>
      <c r="L140" s="397"/>
      <c r="M140" s="444"/>
      <c r="N140" s="412"/>
      <c r="O140" s="373"/>
    </row>
    <row r="141" spans="1:15" s="374" customFormat="1" ht="15.75" customHeight="1">
      <c r="A141" s="399" t="s">
        <v>278</v>
      </c>
      <c r="B141" s="397"/>
      <c r="C141" s="402">
        <v>218733652</v>
      </c>
      <c r="D141" s="403"/>
      <c r="E141" s="403"/>
      <c r="F141" s="394">
        <v>218733652</v>
      </c>
      <c r="G141" s="403"/>
      <c r="H141" s="394">
        <v>218733652</v>
      </c>
      <c r="I141" s="402"/>
      <c r="J141" s="402"/>
      <c r="K141" s="402"/>
      <c r="L141" s="402"/>
      <c r="M141" s="441">
        <v>218733652</v>
      </c>
      <c r="N141" s="412">
        <f aca="true" t="shared" si="5" ref="N141:N146">+H141/$H$186</f>
        <v>0.014138721285985575</v>
      </c>
      <c r="O141" s="373"/>
    </row>
    <row r="142" spans="1:15" s="374" customFormat="1" ht="15.75" customHeight="1" outlineLevel="1">
      <c r="A142" s="427" t="s">
        <v>338</v>
      </c>
      <c r="B142" s="394"/>
      <c r="C142" s="433">
        <v>6000000</v>
      </c>
      <c r="D142" s="396"/>
      <c r="E142" s="393"/>
      <c r="F142" s="433">
        <v>6000000</v>
      </c>
      <c r="G142" s="393"/>
      <c r="H142" s="433">
        <v>6000000</v>
      </c>
      <c r="I142" s="397"/>
      <c r="J142" s="397"/>
      <c r="K142" s="397"/>
      <c r="L142" s="397"/>
      <c r="M142" s="444">
        <v>6000000</v>
      </c>
      <c r="N142" s="436">
        <f t="shared" si="5"/>
        <v>0.00038783391097001136</v>
      </c>
      <c r="O142" s="373"/>
    </row>
    <row r="143" spans="1:15" s="374" customFormat="1" ht="15.75" customHeight="1" outlineLevel="1">
      <c r="A143" s="427" t="s">
        <v>344</v>
      </c>
      <c r="B143" s="394"/>
      <c r="C143" s="433">
        <v>12000000</v>
      </c>
      <c r="D143" s="396"/>
      <c r="E143" s="393"/>
      <c r="F143" s="433">
        <v>12000000</v>
      </c>
      <c r="G143" s="393"/>
      <c r="H143" s="433">
        <v>12000000</v>
      </c>
      <c r="I143" s="397"/>
      <c r="J143" s="397"/>
      <c r="K143" s="397"/>
      <c r="L143" s="397"/>
      <c r="M143" s="444">
        <v>12000000</v>
      </c>
      <c r="N143" s="436">
        <f t="shared" si="5"/>
        <v>0.0007756678219400227</v>
      </c>
      <c r="O143" s="373"/>
    </row>
    <row r="144" spans="1:15" s="374" customFormat="1" ht="15.75" customHeight="1" outlineLevel="1">
      <c r="A144" s="427" t="s">
        <v>339</v>
      </c>
      <c r="B144" s="394"/>
      <c r="C144" s="433">
        <v>700000</v>
      </c>
      <c r="D144" s="396"/>
      <c r="E144" s="393"/>
      <c r="F144" s="433">
        <v>700000</v>
      </c>
      <c r="G144" s="393"/>
      <c r="H144" s="433">
        <v>700000</v>
      </c>
      <c r="I144" s="397"/>
      <c r="J144" s="397"/>
      <c r="K144" s="397"/>
      <c r="L144" s="397"/>
      <c r="M144" s="444">
        <v>700000</v>
      </c>
      <c r="N144" s="436">
        <f t="shared" si="5"/>
        <v>4.524728961316799E-05</v>
      </c>
      <c r="O144" s="373"/>
    </row>
    <row r="145" spans="1:15" s="374" customFormat="1" ht="15.75" customHeight="1" outlineLevel="1">
      <c r="A145" s="427" t="s">
        <v>340</v>
      </c>
      <c r="B145" s="394"/>
      <c r="C145" s="433">
        <v>187533652</v>
      </c>
      <c r="D145" s="396"/>
      <c r="E145" s="393"/>
      <c r="F145" s="433">
        <v>187533652</v>
      </c>
      <c r="G145" s="393"/>
      <c r="H145" s="433">
        <v>187533652</v>
      </c>
      <c r="I145" s="397"/>
      <c r="J145" s="397"/>
      <c r="K145" s="397"/>
      <c r="L145" s="397"/>
      <c r="M145" s="444">
        <v>187533652</v>
      </c>
      <c r="N145" s="436">
        <f t="shared" si="5"/>
        <v>0.012121984948941516</v>
      </c>
      <c r="O145" s="373"/>
    </row>
    <row r="146" spans="1:15" s="374" customFormat="1" ht="15.75" customHeight="1" outlineLevel="1">
      <c r="A146" s="427" t="s">
        <v>341</v>
      </c>
      <c r="B146" s="394"/>
      <c r="C146" s="433">
        <v>12500000</v>
      </c>
      <c r="D146" s="396"/>
      <c r="E146" s="393"/>
      <c r="F146" s="433">
        <v>12500000</v>
      </c>
      <c r="G146" s="393"/>
      <c r="H146" s="433">
        <v>12500000</v>
      </c>
      <c r="I146" s="397"/>
      <c r="J146" s="397"/>
      <c r="K146" s="397"/>
      <c r="L146" s="397"/>
      <c r="M146" s="444">
        <v>12500000</v>
      </c>
      <c r="N146" s="436">
        <f t="shared" si="5"/>
        <v>0.000807987314520857</v>
      </c>
      <c r="O146" s="373"/>
    </row>
    <row r="147" spans="1:15" s="374" customFormat="1" ht="15.75" customHeight="1">
      <c r="A147" s="401"/>
      <c r="B147" s="394"/>
      <c r="C147" s="396"/>
      <c r="D147" s="393"/>
      <c r="E147" s="396"/>
      <c r="F147" s="394"/>
      <c r="G147" s="393"/>
      <c r="H147" s="394"/>
      <c r="I147" s="394"/>
      <c r="J147" s="394"/>
      <c r="K147" s="394"/>
      <c r="L147" s="394"/>
      <c r="M147" s="443"/>
      <c r="N147" s="412"/>
      <c r="O147" s="373"/>
    </row>
    <row r="148" spans="1:15" ht="15.75" customHeight="1">
      <c r="A148" s="386" t="s">
        <v>54</v>
      </c>
      <c r="B148" s="393"/>
      <c r="C148" s="394"/>
      <c r="D148" s="394">
        <v>5696333000.4</v>
      </c>
      <c r="E148" s="400"/>
      <c r="F148" s="394">
        <v>5696333000.4</v>
      </c>
      <c r="G148" s="400"/>
      <c r="H148" s="394">
        <v>5696333000.4</v>
      </c>
      <c r="I148" s="394"/>
      <c r="J148" s="394"/>
      <c r="K148" s="394">
        <v>40490000</v>
      </c>
      <c r="L148" s="394"/>
      <c r="M148" s="443">
        <v>5736823000.4</v>
      </c>
      <c r="N148" s="412">
        <f aca="true" t="shared" si="6" ref="N148:N159">+H148/$H$186</f>
        <v>0.3682051842887785</v>
      </c>
      <c r="O148" s="1"/>
    </row>
    <row r="149" spans="1:15" s="374" customFormat="1" ht="15.75" customHeight="1">
      <c r="A149" s="406" t="s">
        <v>152</v>
      </c>
      <c r="B149" s="400"/>
      <c r="C149" s="396"/>
      <c r="D149" s="402">
        <v>3749994558.4</v>
      </c>
      <c r="E149" s="393"/>
      <c r="F149" s="394">
        <v>3749994558.4</v>
      </c>
      <c r="G149" s="393"/>
      <c r="H149" s="394">
        <v>3749994558.4</v>
      </c>
      <c r="I149" s="394"/>
      <c r="J149" s="394"/>
      <c r="K149" s="394"/>
      <c r="L149" s="394"/>
      <c r="M149" s="443">
        <v>3749994558.4</v>
      </c>
      <c r="N149" s="412">
        <f t="shared" si="6"/>
        <v>0.24239584261675545</v>
      </c>
      <c r="O149" s="373"/>
    </row>
    <row r="150" spans="1:15" s="374" customFormat="1" ht="15.75" customHeight="1" outlineLevel="1">
      <c r="A150" s="401" t="s">
        <v>301</v>
      </c>
      <c r="B150" s="400"/>
      <c r="C150" s="396"/>
      <c r="D150" s="397">
        <v>2700856414</v>
      </c>
      <c r="E150" s="393"/>
      <c r="F150" s="433">
        <v>2700856414</v>
      </c>
      <c r="G150" s="393"/>
      <c r="H150" s="433">
        <v>2700856414</v>
      </c>
      <c r="I150" s="396"/>
      <c r="J150" s="396"/>
      <c r="K150" s="396"/>
      <c r="L150" s="396"/>
      <c r="M150" s="442">
        <v>2700856414</v>
      </c>
      <c r="N150" s="436">
        <f t="shared" si="6"/>
        <v>0.17458061766834337</v>
      </c>
      <c r="O150" s="373"/>
    </row>
    <row r="151" spans="1:15" s="374" customFormat="1" ht="15.75" customHeight="1" outlineLevel="1">
      <c r="A151" s="401" t="s">
        <v>149</v>
      </c>
      <c r="B151" s="400"/>
      <c r="C151" s="396"/>
      <c r="D151" s="397">
        <v>75248000</v>
      </c>
      <c r="E151" s="393"/>
      <c r="F151" s="433">
        <v>75248000</v>
      </c>
      <c r="G151" s="393"/>
      <c r="H151" s="433">
        <v>75248000</v>
      </c>
      <c r="I151" s="396"/>
      <c r="J151" s="396"/>
      <c r="K151" s="396"/>
      <c r="L151" s="396"/>
      <c r="M151" s="442">
        <v>75248000</v>
      </c>
      <c r="N151" s="436">
        <f t="shared" si="6"/>
        <v>0.004863954355445236</v>
      </c>
      <c r="O151" s="373"/>
    </row>
    <row r="152" spans="1:15" s="374" customFormat="1" ht="15.75" customHeight="1" outlineLevel="1">
      <c r="A152" s="401" t="s">
        <v>150</v>
      </c>
      <c r="B152" s="400"/>
      <c r="C152" s="396"/>
      <c r="D152" s="397">
        <v>772703136</v>
      </c>
      <c r="E152" s="393"/>
      <c r="F152" s="433">
        <v>772703136</v>
      </c>
      <c r="G152" s="393"/>
      <c r="H152" s="433">
        <v>772703136</v>
      </c>
      <c r="I152" s="396"/>
      <c r="J152" s="396"/>
      <c r="K152" s="396"/>
      <c r="L152" s="396"/>
      <c r="M152" s="442">
        <v>772703136</v>
      </c>
      <c r="N152" s="436">
        <f t="shared" si="6"/>
        <v>0.049946746542278764</v>
      </c>
      <c r="O152" s="373"/>
    </row>
    <row r="153" spans="1:15" s="374" customFormat="1" ht="15.75" customHeight="1" outlineLevel="1">
      <c r="A153" s="401" t="s">
        <v>300</v>
      </c>
      <c r="B153" s="400"/>
      <c r="C153" s="396"/>
      <c r="D153" s="397">
        <v>201187008.4</v>
      </c>
      <c r="E153" s="393"/>
      <c r="F153" s="433">
        <v>201187008.4</v>
      </c>
      <c r="G153" s="393"/>
      <c r="H153" s="433">
        <v>201187008.4</v>
      </c>
      <c r="I153" s="396"/>
      <c r="J153" s="396"/>
      <c r="K153" s="396"/>
      <c r="L153" s="396"/>
      <c r="M153" s="442">
        <v>201187008.4</v>
      </c>
      <c r="N153" s="436">
        <f t="shared" si="6"/>
        <v>0.013004524050688089</v>
      </c>
      <c r="O153" s="373"/>
    </row>
    <row r="154" spans="1:15" s="374" customFormat="1" ht="15.75" customHeight="1">
      <c r="A154" s="406" t="s">
        <v>15</v>
      </c>
      <c r="B154" s="400"/>
      <c r="C154" s="396"/>
      <c r="D154" s="402">
        <v>74301850</v>
      </c>
      <c r="E154" s="393"/>
      <c r="F154" s="394">
        <v>74301850</v>
      </c>
      <c r="G154" s="393"/>
      <c r="H154" s="394">
        <v>74301850</v>
      </c>
      <c r="I154" s="394"/>
      <c r="J154" s="394"/>
      <c r="K154" s="394"/>
      <c r="L154" s="394"/>
      <c r="M154" s="443">
        <v>74301850</v>
      </c>
      <c r="N154" s="412">
        <f t="shared" si="6"/>
        <v>0.004802796179634523</v>
      </c>
      <c r="O154" s="373"/>
    </row>
    <row r="155" spans="1:15" s="374" customFormat="1" ht="15.75" customHeight="1" outlineLevel="1">
      <c r="A155" s="406" t="s">
        <v>156</v>
      </c>
      <c r="B155" s="400"/>
      <c r="C155" s="396"/>
      <c r="D155" s="402">
        <v>34000000</v>
      </c>
      <c r="E155" s="393"/>
      <c r="F155" s="394">
        <v>34000000</v>
      </c>
      <c r="G155" s="393"/>
      <c r="H155" s="394">
        <v>34000000</v>
      </c>
      <c r="I155" s="394"/>
      <c r="J155" s="394"/>
      <c r="K155" s="394"/>
      <c r="L155" s="394"/>
      <c r="M155" s="443">
        <v>34000000</v>
      </c>
      <c r="N155" s="412">
        <f t="shared" si="6"/>
        <v>0.002197725495496731</v>
      </c>
      <c r="O155" s="373"/>
    </row>
    <row r="156" spans="1:15" s="374" customFormat="1" ht="15.75" customHeight="1" outlineLevel="2">
      <c r="A156" s="401" t="s">
        <v>272</v>
      </c>
      <c r="B156" s="400"/>
      <c r="C156" s="396"/>
      <c r="D156" s="397">
        <v>6000000</v>
      </c>
      <c r="E156" s="393"/>
      <c r="F156" s="433">
        <v>6000000</v>
      </c>
      <c r="G156" s="393"/>
      <c r="H156" s="433">
        <v>6000000</v>
      </c>
      <c r="I156" s="396"/>
      <c r="J156" s="396"/>
      <c r="K156" s="396"/>
      <c r="L156" s="396"/>
      <c r="M156" s="442">
        <v>6000000</v>
      </c>
      <c r="N156" s="436">
        <f t="shared" si="6"/>
        <v>0.00038783391097001136</v>
      </c>
      <c r="O156" s="373"/>
    </row>
    <row r="157" spans="1:15" s="374" customFormat="1" ht="15.75" customHeight="1" outlineLevel="2">
      <c r="A157" s="401" t="s">
        <v>273</v>
      </c>
      <c r="B157" s="400"/>
      <c r="C157" s="396"/>
      <c r="D157" s="397">
        <v>28000000</v>
      </c>
      <c r="E157" s="393"/>
      <c r="F157" s="433">
        <v>28000000</v>
      </c>
      <c r="G157" s="393"/>
      <c r="H157" s="433">
        <v>28000000</v>
      </c>
      <c r="I157" s="396"/>
      <c r="J157" s="396"/>
      <c r="K157" s="396"/>
      <c r="L157" s="396"/>
      <c r="M157" s="442">
        <v>28000000</v>
      </c>
      <c r="N157" s="436">
        <f t="shared" si="6"/>
        <v>0.0018098915845267197</v>
      </c>
      <c r="O157" s="373"/>
    </row>
    <row r="158" spans="1:15" s="374" customFormat="1" ht="15.75" customHeight="1" outlineLevel="1">
      <c r="A158" s="406" t="s">
        <v>155</v>
      </c>
      <c r="B158" s="400"/>
      <c r="C158" s="396"/>
      <c r="D158" s="402">
        <v>40301850</v>
      </c>
      <c r="E158" s="393"/>
      <c r="F158" s="394">
        <v>40301850</v>
      </c>
      <c r="G158" s="393"/>
      <c r="H158" s="394">
        <v>40301850</v>
      </c>
      <c r="I158" s="394"/>
      <c r="J158" s="394"/>
      <c r="K158" s="394"/>
      <c r="L158" s="394"/>
      <c r="M158" s="443">
        <v>40301850</v>
      </c>
      <c r="N158" s="412">
        <f t="shared" si="6"/>
        <v>0.002605070684137792</v>
      </c>
      <c r="O158" s="373"/>
    </row>
    <row r="159" spans="1:15" s="374" customFormat="1" ht="15.75" customHeight="1" outlineLevel="2">
      <c r="A159" s="401" t="s">
        <v>148</v>
      </c>
      <c r="B159" s="400"/>
      <c r="C159" s="396"/>
      <c r="D159" s="397">
        <v>40301850</v>
      </c>
      <c r="E159" s="393"/>
      <c r="F159" s="433">
        <v>40301850</v>
      </c>
      <c r="G159" s="393"/>
      <c r="H159" s="433">
        <v>40301850</v>
      </c>
      <c r="I159" s="396"/>
      <c r="J159" s="396"/>
      <c r="K159" s="396"/>
      <c r="L159" s="396"/>
      <c r="M159" s="442">
        <v>40301850</v>
      </c>
      <c r="N159" s="436">
        <f t="shared" si="6"/>
        <v>0.002605070684137792</v>
      </c>
      <c r="O159" s="373"/>
    </row>
    <row r="160" spans="1:15" s="374" customFormat="1" ht="15.75" customHeight="1" outlineLevel="1">
      <c r="A160" s="401"/>
      <c r="B160" s="400"/>
      <c r="C160" s="396"/>
      <c r="D160" s="397"/>
      <c r="E160" s="393"/>
      <c r="F160" s="394"/>
      <c r="G160" s="393"/>
      <c r="H160" s="394"/>
      <c r="I160" s="396"/>
      <c r="J160" s="396"/>
      <c r="K160" s="396"/>
      <c r="L160" s="396"/>
      <c r="M160" s="442"/>
      <c r="N160" s="412"/>
      <c r="O160" s="373"/>
    </row>
    <row r="161" spans="1:15" s="374" customFormat="1" ht="15.75" customHeight="1">
      <c r="A161" s="406" t="s">
        <v>151</v>
      </c>
      <c r="B161" s="400"/>
      <c r="C161" s="396"/>
      <c r="D161" s="402">
        <v>132000000</v>
      </c>
      <c r="E161" s="396"/>
      <c r="F161" s="394">
        <v>132000000</v>
      </c>
      <c r="G161" s="393"/>
      <c r="H161" s="394">
        <v>132000000</v>
      </c>
      <c r="I161" s="394"/>
      <c r="J161" s="394"/>
      <c r="K161" s="394">
        <v>40490000</v>
      </c>
      <c r="L161" s="394"/>
      <c r="M161" s="443">
        <v>172490000</v>
      </c>
      <c r="N161" s="412">
        <f aca="true" t="shared" si="7" ref="N161:N166">+H161/$H$186</f>
        <v>0.00853234604134025</v>
      </c>
      <c r="O161" s="373"/>
    </row>
    <row r="162" spans="1:15" s="374" customFormat="1" ht="15.75" customHeight="1" outlineLevel="1">
      <c r="A162" s="417" t="s">
        <v>159</v>
      </c>
      <c r="B162" s="400"/>
      <c r="C162" s="396"/>
      <c r="D162" s="397">
        <v>50000000</v>
      </c>
      <c r="E162" s="393"/>
      <c r="F162" s="433">
        <v>50000000</v>
      </c>
      <c r="G162" s="404"/>
      <c r="H162" s="433">
        <v>50000000</v>
      </c>
      <c r="I162" s="397"/>
      <c r="J162" s="397"/>
      <c r="K162" s="397">
        <v>40490000</v>
      </c>
      <c r="L162" s="397"/>
      <c r="M162" s="444">
        <v>90490000</v>
      </c>
      <c r="N162" s="436">
        <f t="shared" si="7"/>
        <v>0.003231949258083428</v>
      </c>
      <c r="O162" s="373"/>
    </row>
    <row r="163" spans="1:15" s="374" customFormat="1" ht="15.75" customHeight="1" outlineLevel="1">
      <c r="A163" s="417" t="s">
        <v>267</v>
      </c>
      <c r="B163" s="400"/>
      <c r="C163" s="396"/>
      <c r="D163" s="397">
        <v>21230000</v>
      </c>
      <c r="E163" s="393"/>
      <c r="F163" s="433">
        <v>21230000</v>
      </c>
      <c r="G163" s="404"/>
      <c r="H163" s="433">
        <v>21230000</v>
      </c>
      <c r="I163" s="397"/>
      <c r="J163" s="397"/>
      <c r="K163" s="397"/>
      <c r="L163" s="397"/>
      <c r="M163" s="444">
        <v>21230000</v>
      </c>
      <c r="N163" s="436">
        <f t="shared" si="7"/>
        <v>0.0013722856549822236</v>
      </c>
      <c r="O163" s="373"/>
    </row>
    <row r="164" spans="1:15" s="374" customFormat="1" ht="15.75" customHeight="1" outlineLevel="1">
      <c r="A164" s="417" t="s">
        <v>268</v>
      </c>
      <c r="B164" s="400"/>
      <c r="C164" s="396"/>
      <c r="D164" s="463">
        <v>15000000</v>
      </c>
      <c r="E164" s="393"/>
      <c r="F164" s="433">
        <v>15000000</v>
      </c>
      <c r="G164" s="404"/>
      <c r="H164" s="433">
        <v>15000000</v>
      </c>
      <c r="I164" s="397"/>
      <c r="J164" s="397"/>
      <c r="K164" s="397"/>
      <c r="L164" s="397"/>
      <c r="M164" s="444">
        <v>15000000</v>
      </c>
      <c r="N164" s="436">
        <f t="shared" si="7"/>
        <v>0.0009695847774250284</v>
      </c>
      <c r="O164" s="373"/>
    </row>
    <row r="165" spans="1:15" s="374" customFormat="1" ht="15.75" customHeight="1" outlineLevel="1">
      <c r="A165" s="417" t="s">
        <v>269</v>
      </c>
      <c r="B165" s="400"/>
      <c r="C165" s="396"/>
      <c r="D165" s="397">
        <v>5000000</v>
      </c>
      <c r="E165" s="393"/>
      <c r="F165" s="433">
        <v>5000000</v>
      </c>
      <c r="G165" s="404"/>
      <c r="H165" s="433">
        <v>5000000</v>
      </c>
      <c r="I165" s="397"/>
      <c r="J165" s="397"/>
      <c r="K165" s="397"/>
      <c r="L165" s="397"/>
      <c r="M165" s="444">
        <v>5000000</v>
      </c>
      <c r="N165" s="436">
        <f t="shared" si="7"/>
        <v>0.0003231949258083428</v>
      </c>
      <c r="O165" s="373"/>
    </row>
    <row r="166" spans="1:15" s="374" customFormat="1" ht="15.75" customHeight="1" outlineLevel="1">
      <c r="A166" s="417" t="s">
        <v>274</v>
      </c>
      <c r="B166" s="400"/>
      <c r="C166" s="396"/>
      <c r="D166" s="397">
        <v>40770000</v>
      </c>
      <c r="E166" s="403"/>
      <c r="F166" s="433">
        <v>40770000</v>
      </c>
      <c r="G166" s="393"/>
      <c r="H166" s="433">
        <v>40770000</v>
      </c>
      <c r="I166" s="397"/>
      <c r="J166" s="397"/>
      <c r="K166" s="397"/>
      <c r="L166" s="397"/>
      <c r="M166" s="444">
        <v>40770000</v>
      </c>
      <c r="N166" s="436">
        <f t="shared" si="7"/>
        <v>0.0026353314250412273</v>
      </c>
      <c r="O166" s="373"/>
    </row>
    <row r="167" spans="1:15" ht="15.75" customHeight="1">
      <c r="A167" s="406" t="s">
        <v>8</v>
      </c>
      <c r="B167" s="393"/>
      <c r="C167" s="396"/>
      <c r="D167" s="402">
        <v>125673312</v>
      </c>
      <c r="E167" s="393"/>
      <c r="F167" s="394">
        <v>125673312</v>
      </c>
      <c r="G167" s="400"/>
      <c r="H167" s="394">
        <v>125673312</v>
      </c>
      <c r="I167" s="394"/>
      <c r="J167" s="394"/>
      <c r="K167" s="394"/>
      <c r="L167" s="394"/>
      <c r="M167" s="443">
        <v>125673312</v>
      </c>
      <c r="N167" s="412">
        <f aca="true" t="shared" si="8" ref="N167:N177">+H167/$H$186</f>
        <v>0.008123395349585744</v>
      </c>
      <c r="O167" s="1"/>
    </row>
    <row r="168" spans="1:15" ht="15.75" customHeight="1" outlineLevel="1">
      <c r="A168" s="401" t="s">
        <v>153</v>
      </c>
      <c r="B168" s="393"/>
      <c r="C168" s="396"/>
      <c r="D168" s="397">
        <v>125673312</v>
      </c>
      <c r="E168" s="393"/>
      <c r="F168" s="433">
        <v>125673312</v>
      </c>
      <c r="G168" s="400"/>
      <c r="H168" s="433">
        <v>125673312</v>
      </c>
      <c r="I168" s="396"/>
      <c r="J168" s="396"/>
      <c r="K168" s="396"/>
      <c r="L168" s="396"/>
      <c r="M168" s="442">
        <v>125673312</v>
      </c>
      <c r="N168" s="436">
        <f t="shared" si="8"/>
        <v>0.008123395349585744</v>
      </c>
      <c r="O168" s="1"/>
    </row>
    <row r="169" spans="1:15" ht="15.75" customHeight="1">
      <c r="A169" s="406" t="s">
        <v>275</v>
      </c>
      <c r="B169" s="393"/>
      <c r="C169" s="396"/>
      <c r="D169" s="402">
        <v>1614363280</v>
      </c>
      <c r="E169" s="393"/>
      <c r="F169" s="394">
        <v>1614363280</v>
      </c>
      <c r="G169" s="403"/>
      <c r="H169" s="394">
        <v>1614363280</v>
      </c>
      <c r="I169" s="402"/>
      <c r="J169" s="402"/>
      <c r="K169" s="402"/>
      <c r="L169" s="402"/>
      <c r="M169" s="441">
        <v>1614363280</v>
      </c>
      <c r="N169" s="412">
        <f t="shared" si="8"/>
        <v>0.1043508041014626</v>
      </c>
      <c r="O169" s="1"/>
    </row>
    <row r="170" spans="1:15" ht="15.75" customHeight="1" outlineLevel="1">
      <c r="A170" s="427" t="s">
        <v>311</v>
      </c>
      <c r="B170" s="393"/>
      <c r="C170" s="396"/>
      <c r="D170" s="397">
        <v>1452574000</v>
      </c>
      <c r="E170" s="393"/>
      <c r="F170" s="394">
        <v>1452574000</v>
      </c>
      <c r="G170" s="400"/>
      <c r="H170" s="394">
        <v>1452574000</v>
      </c>
      <c r="I170" s="396"/>
      <c r="J170" s="396"/>
      <c r="K170" s="396"/>
      <c r="L170" s="396"/>
      <c r="M170" s="442">
        <v>1452574000</v>
      </c>
      <c r="N170" s="436">
        <f t="shared" si="8"/>
        <v>0.09389290923222555</v>
      </c>
      <c r="O170" s="1"/>
    </row>
    <row r="171" spans="1:15" ht="15.75" customHeight="1" outlineLevel="2">
      <c r="A171" s="401" t="s">
        <v>304</v>
      </c>
      <c r="B171" s="393"/>
      <c r="C171" s="396"/>
      <c r="D171" s="397">
        <v>851500000</v>
      </c>
      <c r="E171" s="393"/>
      <c r="F171" s="433">
        <v>851500000</v>
      </c>
      <c r="G171" s="400"/>
      <c r="H171" s="433">
        <v>851500000</v>
      </c>
      <c r="I171" s="396"/>
      <c r="J171" s="396"/>
      <c r="K171" s="396"/>
      <c r="L171" s="396"/>
      <c r="M171" s="442">
        <v>851500000</v>
      </c>
      <c r="N171" s="436">
        <f t="shared" si="8"/>
        <v>0.05504009586516078</v>
      </c>
      <c r="O171" s="1"/>
    </row>
    <row r="172" spans="1:15" ht="15.75" customHeight="1" outlineLevel="2">
      <c r="A172" s="401" t="s">
        <v>147</v>
      </c>
      <c r="B172" s="393"/>
      <c r="C172" s="396"/>
      <c r="D172" s="397">
        <v>601074000</v>
      </c>
      <c r="E172" s="393"/>
      <c r="F172" s="433">
        <v>601074000</v>
      </c>
      <c r="G172" s="400"/>
      <c r="H172" s="433">
        <v>601074000</v>
      </c>
      <c r="I172" s="396"/>
      <c r="J172" s="396"/>
      <c r="K172" s="396"/>
      <c r="L172" s="396"/>
      <c r="M172" s="442">
        <v>601074000</v>
      </c>
      <c r="N172" s="436">
        <f t="shared" si="8"/>
        <v>0.03885281336706477</v>
      </c>
      <c r="O172" s="1"/>
    </row>
    <row r="173" spans="1:15" ht="15.75" customHeight="1" outlineLevel="1">
      <c r="A173" s="427" t="s">
        <v>271</v>
      </c>
      <c r="B173" s="393"/>
      <c r="C173" s="396"/>
      <c r="D173" s="397">
        <v>19200000</v>
      </c>
      <c r="E173" s="393"/>
      <c r="F173" s="433">
        <v>19200000</v>
      </c>
      <c r="G173" s="400"/>
      <c r="H173" s="433">
        <v>19200000</v>
      </c>
      <c r="I173" s="396"/>
      <c r="J173" s="396"/>
      <c r="K173" s="396"/>
      <c r="L173" s="396"/>
      <c r="M173" s="442">
        <v>19200000</v>
      </c>
      <c r="N173" s="436">
        <f t="shared" si="8"/>
        <v>0.0012410685151040364</v>
      </c>
      <c r="O173" s="1"/>
    </row>
    <row r="174" spans="1:15" ht="15.75" customHeight="1" outlineLevel="1">
      <c r="A174" s="427" t="s">
        <v>305</v>
      </c>
      <c r="B174" s="393"/>
      <c r="C174" s="396"/>
      <c r="D174" s="397">
        <v>8500000</v>
      </c>
      <c r="E174" s="393"/>
      <c r="F174" s="433">
        <v>8500000</v>
      </c>
      <c r="G174" s="400"/>
      <c r="H174" s="433">
        <v>8500000</v>
      </c>
      <c r="I174" s="396"/>
      <c r="J174" s="396"/>
      <c r="K174" s="396"/>
      <c r="L174" s="396"/>
      <c r="M174" s="442">
        <v>8500000</v>
      </c>
      <c r="N174" s="436">
        <f t="shared" si="8"/>
        <v>0.0005494313738741828</v>
      </c>
      <c r="O174" s="1"/>
    </row>
    <row r="175" spans="1:15" ht="15.75" customHeight="1" outlineLevel="1">
      <c r="A175" s="427" t="s">
        <v>293</v>
      </c>
      <c r="B175" s="393"/>
      <c r="C175" s="396"/>
      <c r="D175" s="397">
        <v>129689280</v>
      </c>
      <c r="E175" s="393"/>
      <c r="F175" s="433">
        <v>129689280</v>
      </c>
      <c r="G175" s="393"/>
      <c r="H175" s="433">
        <v>129689280</v>
      </c>
      <c r="I175" s="396"/>
      <c r="J175" s="396"/>
      <c r="K175" s="396"/>
      <c r="L175" s="396"/>
      <c r="M175" s="442">
        <v>129689280</v>
      </c>
      <c r="N175" s="436">
        <f t="shared" si="8"/>
        <v>0.00838298344554748</v>
      </c>
      <c r="O175" s="1"/>
    </row>
    <row r="176" spans="1:15" ht="15.75" customHeight="1" outlineLevel="1">
      <c r="A176" s="427" t="s">
        <v>371</v>
      </c>
      <c r="B176" s="393"/>
      <c r="C176" s="396"/>
      <c r="D176" s="397">
        <v>2000000</v>
      </c>
      <c r="E176" s="393"/>
      <c r="F176" s="433">
        <v>2000000</v>
      </c>
      <c r="G176" s="393"/>
      <c r="H176" s="433">
        <v>2000000</v>
      </c>
      <c r="I176" s="396"/>
      <c r="J176" s="396"/>
      <c r="K176" s="396"/>
      <c r="L176" s="396"/>
      <c r="M176" s="442">
        <v>2000000</v>
      </c>
      <c r="N176" s="436">
        <f t="shared" si="8"/>
        <v>0.00012927797032333713</v>
      </c>
      <c r="O176" s="1"/>
    </row>
    <row r="177" spans="1:15" ht="15.75" customHeight="1" outlineLevel="1">
      <c r="A177" s="427" t="s">
        <v>294</v>
      </c>
      <c r="B177" s="393"/>
      <c r="C177" s="396"/>
      <c r="D177" s="397">
        <v>2400000</v>
      </c>
      <c r="E177" s="393"/>
      <c r="F177" s="433">
        <v>2400000</v>
      </c>
      <c r="G177" s="393"/>
      <c r="H177" s="433">
        <v>2400000</v>
      </c>
      <c r="I177" s="396"/>
      <c r="J177" s="396"/>
      <c r="K177" s="396"/>
      <c r="L177" s="396"/>
      <c r="M177" s="442">
        <v>2400000</v>
      </c>
      <c r="N177" s="436">
        <f t="shared" si="8"/>
        <v>0.00015513356438800455</v>
      </c>
      <c r="O177" s="1"/>
    </row>
    <row r="178" spans="1:15" ht="15.75" customHeight="1" outlineLevel="1">
      <c r="A178" s="401"/>
      <c r="B178" s="393"/>
      <c r="C178" s="396"/>
      <c r="D178" s="397"/>
      <c r="E178" s="393"/>
      <c r="F178" s="396"/>
      <c r="G178" s="393"/>
      <c r="H178" s="396"/>
      <c r="I178" s="396"/>
      <c r="J178" s="396"/>
      <c r="K178" s="396"/>
      <c r="L178" s="396"/>
      <c r="M178" s="442"/>
      <c r="N178" s="412"/>
      <c r="O178" s="1"/>
    </row>
    <row r="179" spans="1:15" ht="15.75" customHeight="1">
      <c r="A179" s="401"/>
      <c r="B179" s="393"/>
      <c r="C179" s="396"/>
      <c r="D179" s="397"/>
      <c r="E179" s="393"/>
      <c r="F179" s="396"/>
      <c r="G179" s="393"/>
      <c r="H179" s="396"/>
      <c r="I179" s="396"/>
      <c r="J179" s="396"/>
      <c r="K179" s="396"/>
      <c r="L179" s="396"/>
      <c r="M179" s="442"/>
      <c r="N179" s="412"/>
      <c r="O179" s="1"/>
    </row>
    <row r="180" spans="1:15" ht="15.75" customHeight="1">
      <c r="A180" s="399" t="s">
        <v>171</v>
      </c>
      <c r="B180" s="393"/>
      <c r="C180" s="393"/>
      <c r="D180" s="393"/>
      <c r="E180" s="396"/>
      <c r="F180" s="396"/>
      <c r="G180" s="394">
        <v>760641204.5256784</v>
      </c>
      <c r="H180" s="394">
        <v>760641204.5256784</v>
      </c>
      <c r="I180" s="394"/>
      <c r="J180" s="394"/>
      <c r="K180" s="394"/>
      <c r="L180" s="394"/>
      <c r="M180" s="443">
        <v>760641204.5256784</v>
      </c>
      <c r="N180" s="412">
        <f>+H180/$H$186</f>
        <v>0.04916707553268903</v>
      </c>
      <c r="O180" s="1"/>
    </row>
    <row r="181" spans="1:15" ht="15.75" customHeight="1">
      <c r="A181" s="406"/>
      <c r="B181" s="393"/>
      <c r="C181" s="393"/>
      <c r="D181" s="393"/>
      <c r="E181" s="396"/>
      <c r="F181" s="396"/>
      <c r="G181" s="396"/>
      <c r="H181" s="396"/>
      <c r="I181" s="396"/>
      <c r="J181" s="396"/>
      <c r="K181" s="396"/>
      <c r="L181" s="396"/>
      <c r="M181" s="442"/>
      <c r="N181" s="412"/>
      <c r="O181" s="1"/>
    </row>
    <row r="182" spans="1:15" ht="15.75" customHeight="1">
      <c r="A182" s="399" t="s">
        <v>240</v>
      </c>
      <c r="B182" s="393"/>
      <c r="C182" s="393"/>
      <c r="D182" s="393"/>
      <c r="E182" s="396"/>
      <c r="F182" s="394">
        <v>0</v>
      </c>
      <c r="G182" s="394">
        <v>107226401.69804001</v>
      </c>
      <c r="H182" s="394">
        <v>107226401.69804001</v>
      </c>
      <c r="I182" s="394">
        <v>816452624</v>
      </c>
      <c r="J182" s="394">
        <v>316023485</v>
      </c>
      <c r="K182" s="394">
        <v>-137890000</v>
      </c>
      <c r="L182" s="394">
        <v>-62383872</v>
      </c>
      <c r="M182" s="443">
        <v>1039428638.69804</v>
      </c>
      <c r="N182" s="412">
        <f>+H182/$H$186</f>
        <v>0.006931005788298721</v>
      </c>
      <c r="O182" s="1"/>
    </row>
    <row r="183" spans="1:15" s="375" customFormat="1" ht="15.75" customHeight="1">
      <c r="A183" s="398" t="s">
        <v>295</v>
      </c>
      <c r="B183" s="393"/>
      <c r="C183" s="393"/>
      <c r="D183" s="393"/>
      <c r="E183" s="396"/>
      <c r="F183" s="396">
        <v>0</v>
      </c>
      <c r="G183" s="396">
        <v>89066141</v>
      </c>
      <c r="H183" s="396">
        <v>89066141</v>
      </c>
      <c r="I183" s="396">
        <v>199037388</v>
      </c>
      <c r="J183" s="396">
        <v>316023485</v>
      </c>
      <c r="K183" s="396">
        <v>-84900000</v>
      </c>
      <c r="L183" s="396">
        <v>-62383872</v>
      </c>
      <c r="M183" s="442">
        <v>456843142</v>
      </c>
      <c r="N183" s="436">
        <f>+H183/$H$186</f>
        <v>0.00575714496650608</v>
      </c>
      <c r="O183" s="1"/>
    </row>
    <row r="184" spans="1:16" s="375" customFormat="1" ht="15.75" customHeight="1">
      <c r="A184" s="398" t="s">
        <v>296</v>
      </c>
      <c r="B184" s="393"/>
      <c r="C184" s="393"/>
      <c r="D184" s="393"/>
      <c r="E184" s="396"/>
      <c r="F184" s="396">
        <v>0</v>
      </c>
      <c r="G184" s="396">
        <v>18160260.69804001</v>
      </c>
      <c r="H184" s="396">
        <v>18160260.69804001</v>
      </c>
      <c r="I184" s="396">
        <v>617415236</v>
      </c>
      <c r="J184" s="396"/>
      <c r="K184" s="396">
        <v>-52990000</v>
      </c>
      <c r="L184" s="396"/>
      <c r="M184" s="442">
        <v>582585496.69804</v>
      </c>
      <c r="N184" s="436">
        <f>+H184/$H$186</f>
        <v>0.0011738608217926408</v>
      </c>
      <c r="O184" s="3"/>
      <c r="P184" s="445"/>
    </row>
    <row r="185" spans="1:16" ht="15.75" customHeight="1">
      <c r="A185" s="406"/>
      <c r="B185" s="393"/>
      <c r="C185" s="393"/>
      <c r="D185" s="393"/>
      <c r="E185" s="396"/>
      <c r="F185" s="396"/>
      <c r="G185" s="396"/>
      <c r="H185" s="396"/>
      <c r="I185" s="396"/>
      <c r="J185" s="396"/>
      <c r="K185" s="396"/>
      <c r="L185" s="396"/>
      <c r="M185" s="442"/>
      <c r="N185" s="412"/>
      <c r="O185" s="1"/>
      <c r="P185" s="4"/>
    </row>
    <row r="186" spans="1:16" ht="15.75" customHeight="1">
      <c r="A186" s="406" t="s">
        <v>302</v>
      </c>
      <c r="B186" s="394">
        <v>2903380441.2728195</v>
      </c>
      <c r="C186" s="394">
        <v>1019322241.3292534</v>
      </c>
      <c r="D186" s="394">
        <v>6837507132.824391</v>
      </c>
      <c r="E186" s="394">
        <v>3297166931.1992617</v>
      </c>
      <c r="F186" s="394">
        <v>14057376746.625725</v>
      </c>
      <c r="G186" s="394">
        <v>1413163168.2398958</v>
      </c>
      <c r="H186" s="394">
        <v>15470539914.86562</v>
      </c>
      <c r="I186" s="394">
        <v>816452624</v>
      </c>
      <c r="J186" s="394">
        <v>-380865430</v>
      </c>
      <c r="K186" s="394">
        <v>0</v>
      </c>
      <c r="L186" s="394">
        <v>-156653716</v>
      </c>
      <c r="M186" s="443">
        <v>15749473392.86562</v>
      </c>
      <c r="N186" s="412">
        <f>+H186/$H$186</f>
        <v>1</v>
      </c>
      <c r="O186" s="1"/>
      <c r="P186" s="4"/>
    </row>
    <row r="187" spans="1:15" ht="15.75" customHeight="1" thickBot="1">
      <c r="A187" s="464"/>
      <c r="B187" s="387"/>
      <c r="C187" s="451"/>
      <c r="D187" s="451"/>
      <c r="E187" s="451"/>
      <c r="F187" s="451"/>
      <c r="G187" s="451"/>
      <c r="H187" s="465"/>
      <c r="I187" s="451"/>
      <c r="J187" s="451"/>
      <c r="K187" s="451"/>
      <c r="L187" s="451"/>
      <c r="M187" s="466"/>
      <c r="N187" s="466"/>
      <c r="O187" s="1"/>
    </row>
    <row r="188" spans="1:15" ht="18.75" thickTop="1">
      <c r="A188" s="467"/>
      <c r="B188" s="385"/>
      <c r="C188" s="378"/>
      <c r="D188" s="378"/>
      <c r="E188" s="378"/>
      <c r="F188" s="378"/>
      <c r="G188" s="468"/>
      <c r="H188" s="468"/>
      <c r="I188" s="468"/>
      <c r="J188" s="468"/>
      <c r="K188" s="468"/>
      <c r="L188" s="468" t="e">
        <f>+#REF!</f>
        <v>#REF!</v>
      </c>
      <c r="M188" s="468"/>
      <c r="N188" s="469"/>
      <c r="O188" s="1"/>
    </row>
    <row r="189" spans="1:15" ht="12.75" hidden="1">
      <c r="A189" s="376"/>
      <c r="B189" s="1"/>
      <c r="C189" s="1"/>
      <c r="D189" s="3"/>
      <c r="E189" s="1"/>
      <c r="F189" s="3"/>
      <c r="G189" s="3"/>
      <c r="H189" s="453"/>
      <c r="I189" s="230"/>
      <c r="J189" s="230"/>
      <c r="K189" s="230"/>
      <c r="L189" s="230"/>
      <c r="M189" s="230"/>
      <c r="N189" s="381"/>
      <c r="O189" s="1"/>
    </row>
    <row r="190" spans="1:15" ht="15.75" hidden="1">
      <c r="A190" s="376"/>
      <c r="B190" s="1"/>
      <c r="C190" s="1"/>
      <c r="D190" s="1"/>
      <c r="E190" s="388"/>
      <c r="F190" s="389" t="s">
        <v>207</v>
      </c>
      <c r="G190" s="389" t="s">
        <v>256</v>
      </c>
      <c r="H190" s="454" t="s">
        <v>158</v>
      </c>
      <c r="I190" s="390"/>
      <c r="J190" s="390"/>
      <c r="K190" s="390"/>
      <c r="L190" s="390"/>
      <c r="M190" s="390"/>
      <c r="N190" s="1"/>
      <c r="O190" s="1"/>
    </row>
    <row r="191" spans="1:15" ht="15.75" hidden="1">
      <c r="A191" s="379"/>
      <c r="B191" s="1"/>
      <c r="C191" s="1"/>
      <c r="D191" s="1"/>
      <c r="E191" s="388" t="s">
        <v>147</v>
      </c>
      <c r="F191" s="391">
        <f>+B186+C186+E186+G180+G37</f>
        <v>8525806380.34319</v>
      </c>
      <c r="G191" s="431" t="e">
        <f>+#REF!+#REF!+#REF!+#REF!+#REF!+#REF!+#REF!</f>
        <v>#REF!</v>
      </c>
      <c r="H191" s="455" t="e">
        <f>+G191-F191</f>
        <v>#REF!</v>
      </c>
      <c r="I191" s="391"/>
      <c r="J191" s="391"/>
      <c r="K191" s="391"/>
      <c r="L191" s="391"/>
      <c r="M191" s="391"/>
      <c r="N191" s="1"/>
      <c r="O191" s="1"/>
    </row>
    <row r="192" spans="1:15" ht="16.5" hidden="1" thickBot="1">
      <c r="A192" s="376"/>
      <c r="B192" s="1"/>
      <c r="C192" s="1"/>
      <c r="D192" s="1"/>
      <c r="E192" s="388" t="s">
        <v>252</v>
      </c>
      <c r="F192" s="392">
        <f>+D186</f>
        <v>6837507132.824391</v>
      </c>
      <c r="G192" s="432" t="e">
        <f>+CUOTAPPC2005+#REF!+#REF!+#REF!+VTAS2005+#REF!+#REF!</f>
        <v>#REF!</v>
      </c>
      <c r="H192" s="455" t="e">
        <f>+G192-F192</f>
        <v>#REF!</v>
      </c>
      <c r="I192" s="391"/>
      <c r="J192" s="391"/>
      <c r="K192" s="391"/>
      <c r="L192" s="391"/>
      <c r="M192" s="391"/>
      <c r="N192" s="1"/>
      <c r="O192" s="1"/>
    </row>
    <row r="193" spans="1:15" ht="15.75" hidden="1">
      <c r="A193" s="376"/>
      <c r="B193" s="1"/>
      <c r="C193" s="1"/>
      <c r="D193" s="1"/>
      <c r="E193" s="388"/>
      <c r="F193" s="408">
        <f>+F191+F192</f>
        <v>15363313513.167582</v>
      </c>
      <c r="G193" s="409" t="e">
        <f>+G192+G191</f>
        <v>#REF!</v>
      </c>
      <c r="H193" s="455"/>
      <c r="I193" s="391"/>
      <c r="J193" s="391"/>
      <c r="K193" s="391"/>
      <c r="L193" s="391"/>
      <c r="M193" s="391"/>
      <c r="N193" s="1"/>
      <c r="O193" s="1"/>
    </row>
    <row r="194" spans="1:15" ht="15.75" hidden="1">
      <c r="A194" s="376"/>
      <c r="B194" s="1"/>
      <c r="C194" s="1"/>
      <c r="D194" s="1"/>
      <c r="E194" s="388"/>
      <c r="F194" s="391"/>
      <c r="G194" s="388"/>
      <c r="H194" s="456"/>
      <c r="I194" s="388"/>
      <c r="J194" s="388"/>
      <c r="K194" s="388"/>
      <c r="L194" s="388"/>
      <c r="M194" s="388"/>
      <c r="N194" s="1"/>
      <c r="O194" s="1"/>
    </row>
    <row r="195" spans="1:15" ht="12.75" hidden="1">
      <c r="A195" s="1"/>
      <c r="B195" s="1"/>
      <c r="C195" s="1"/>
      <c r="D195" s="1"/>
      <c r="E195" s="1"/>
      <c r="F195" s="1"/>
      <c r="G195" s="1"/>
      <c r="H195" s="457"/>
      <c r="I195" s="1"/>
      <c r="J195" s="1"/>
      <c r="K195" s="1"/>
      <c r="L195" s="1"/>
      <c r="M195" s="1"/>
      <c r="N195" s="1"/>
      <c r="O195" s="1"/>
    </row>
    <row r="196" spans="1:15" ht="12.75">
      <c r="A196" s="1"/>
      <c r="B196" s="1"/>
      <c r="C196" s="1"/>
      <c r="D196" s="1"/>
      <c r="E196" s="1"/>
      <c r="F196" s="1"/>
      <c r="G196" s="1"/>
      <c r="H196" s="457"/>
      <c r="I196" s="1"/>
      <c r="J196" s="1"/>
      <c r="K196" s="1"/>
      <c r="L196" s="3" t="e">
        <f>+L188-L186</f>
        <v>#REF!</v>
      </c>
      <c r="M196" s="1"/>
      <c r="N196" s="1"/>
      <c r="O196" s="1"/>
    </row>
    <row r="197" spans="1:15" ht="12.75">
      <c r="A197" s="1"/>
      <c r="B197" s="1"/>
      <c r="C197" s="1"/>
      <c r="D197" s="1"/>
      <c r="E197" s="1"/>
      <c r="F197" s="1"/>
      <c r="G197" s="1"/>
      <c r="H197" s="457"/>
      <c r="I197" s="1"/>
      <c r="J197" s="1"/>
      <c r="K197" s="1"/>
      <c r="L197" s="1"/>
      <c r="M197" s="3"/>
      <c r="N197" s="1"/>
      <c r="O197" s="1"/>
    </row>
    <row r="198" spans="1:15" ht="12.75">
      <c r="A198" s="1"/>
      <c r="B198" s="1"/>
      <c r="C198" s="1"/>
      <c r="D198" s="1"/>
      <c r="E198" s="1"/>
      <c r="F198" s="1"/>
      <c r="G198" s="1"/>
      <c r="H198" s="457"/>
      <c r="I198" s="1"/>
      <c r="J198" s="1"/>
      <c r="K198" s="1"/>
      <c r="L198" s="1"/>
      <c r="M198" s="1"/>
      <c r="N198" s="1"/>
      <c r="O198" s="1"/>
    </row>
    <row r="199" spans="1:15" ht="12" customHeight="1">
      <c r="A199" s="1"/>
      <c r="B199" s="1"/>
      <c r="C199" s="1"/>
      <c r="D199" s="1"/>
      <c r="E199" s="1"/>
      <c r="F199" s="1"/>
      <c r="G199" s="382"/>
      <c r="H199" s="457"/>
      <c r="I199" s="1"/>
      <c r="J199" s="1"/>
      <c r="K199" s="1"/>
      <c r="L199" s="1"/>
      <c r="M199" s="1"/>
      <c r="N199" s="1"/>
      <c r="O199" s="1"/>
    </row>
    <row r="200" spans="1:15" ht="12.75">
      <c r="A200" s="1"/>
      <c r="B200" s="1"/>
      <c r="C200" s="1"/>
      <c r="D200" s="1"/>
      <c r="E200" s="1"/>
      <c r="F200" s="1"/>
      <c r="G200" s="1"/>
      <c r="H200" s="457"/>
      <c r="I200" s="1"/>
      <c r="J200" s="1"/>
      <c r="K200" s="1"/>
      <c r="L200" s="1"/>
      <c r="M200" s="1"/>
      <c r="N200" s="1"/>
      <c r="O200" s="1"/>
    </row>
    <row r="201" spans="1:15" ht="12.75">
      <c r="A201" s="1"/>
      <c r="B201" s="1"/>
      <c r="C201" s="1"/>
      <c r="D201" s="1"/>
      <c r="E201" s="1"/>
      <c r="F201" s="1"/>
      <c r="G201" s="1"/>
      <c r="H201" s="457"/>
      <c r="I201" s="1"/>
      <c r="J201" s="1"/>
      <c r="K201" s="1"/>
      <c r="L201" s="1"/>
      <c r="M201" s="1"/>
      <c r="N201" s="1"/>
      <c r="O201" s="1"/>
    </row>
    <row r="202" spans="1:15" ht="12.75">
      <c r="A202" s="1"/>
      <c r="B202" s="1"/>
      <c r="C202" s="1"/>
      <c r="D202" s="1"/>
      <c r="E202" s="1"/>
      <c r="F202" s="1"/>
      <c r="G202" s="1"/>
      <c r="H202" s="457"/>
      <c r="I202" s="1"/>
      <c r="J202" s="1"/>
      <c r="K202" s="1"/>
      <c r="L202" s="1"/>
      <c r="M202" s="1"/>
      <c r="N202" s="1"/>
      <c r="O202" s="1"/>
    </row>
    <row r="203" spans="1:15" ht="12.75">
      <c r="A203" s="1"/>
      <c r="B203" s="1"/>
      <c r="C203" s="1"/>
      <c r="D203" s="1"/>
      <c r="E203" s="1"/>
      <c r="F203" s="1"/>
      <c r="G203" s="1"/>
      <c r="H203" s="457"/>
      <c r="I203" s="1"/>
      <c r="J203" s="1"/>
      <c r="K203" s="1"/>
      <c r="L203" s="1"/>
      <c r="M203" s="1"/>
      <c r="N203" s="1"/>
      <c r="O203" s="1"/>
    </row>
    <row r="204" spans="1:15" ht="12.75">
      <c r="A204" s="1"/>
      <c r="B204" s="1"/>
      <c r="C204" s="1"/>
      <c r="D204" s="1"/>
      <c r="E204" s="1"/>
      <c r="F204" s="1"/>
      <c r="G204" s="1"/>
      <c r="H204" s="457"/>
      <c r="I204" s="1"/>
      <c r="J204" s="1"/>
      <c r="K204" s="1"/>
      <c r="L204" s="1"/>
      <c r="M204" s="1"/>
      <c r="N204" s="1"/>
      <c r="O204" s="1"/>
    </row>
    <row r="205" spans="1:15" ht="12.75">
      <c r="A205" s="1"/>
      <c r="B205" s="1"/>
      <c r="C205" s="1"/>
      <c r="D205" s="1"/>
      <c r="E205" s="1"/>
      <c r="F205" s="1"/>
      <c r="G205" s="1"/>
      <c r="H205" s="457"/>
      <c r="I205" s="1"/>
      <c r="J205" s="1"/>
      <c r="K205" s="1"/>
      <c r="L205" s="1"/>
      <c r="M205" s="1"/>
      <c r="N205" s="1"/>
      <c r="O205" s="1"/>
    </row>
    <row r="206" spans="1:15" ht="12.75">
      <c r="A206" s="1"/>
      <c r="B206" s="1"/>
      <c r="C206" s="1"/>
      <c r="D206" s="1"/>
      <c r="E206" s="1"/>
      <c r="F206" s="1"/>
      <c r="G206" s="1"/>
      <c r="H206" s="457"/>
      <c r="I206" s="1"/>
      <c r="J206" s="1"/>
      <c r="K206" s="1"/>
      <c r="L206" s="1"/>
      <c r="M206" s="1"/>
      <c r="N206" s="1"/>
      <c r="O206" s="1"/>
    </row>
    <row r="207" spans="1:15" ht="12.75">
      <c r="A207" s="1"/>
      <c r="B207" s="1"/>
      <c r="C207" s="1"/>
      <c r="D207" s="1"/>
      <c r="E207" s="1"/>
      <c r="F207" s="1"/>
      <c r="G207" s="1"/>
      <c r="H207" s="457"/>
      <c r="I207" s="1"/>
      <c r="J207" s="1"/>
      <c r="K207" s="1"/>
      <c r="L207" s="1"/>
      <c r="M207" s="1"/>
      <c r="N207" s="1"/>
      <c r="O207" s="1"/>
    </row>
    <row r="208" spans="1:15" ht="12.75">
      <c r="A208" s="1"/>
      <c r="B208" s="1"/>
      <c r="C208" s="1"/>
      <c r="D208" s="1"/>
      <c r="E208" s="1"/>
      <c r="F208" s="1"/>
      <c r="G208" s="1"/>
      <c r="H208" s="457"/>
      <c r="I208" s="1"/>
      <c r="J208" s="1"/>
      <c r="K208" s="1"/>
      <c r="L208" s="1"/>
      <c r="M208" s="1"/>
      <c r="N208" s="1"/>
      <c r="O208" s="1"/>
    </row>
    <row r="209" spans="1:15" ht="12.75">
      <c r="A209" s="1"/>
      <c r="B209" s="1"/>
      <c r="C209" s="1"/>
      <c r="D209" s="1"/>
      <c r="E209" s="1"/>
      <c r="F209" s="1"/>
      <c r="G209" s="1"/>
      <c r="H209" s="457"/>
      <c r="I209" s="1"/>
      <c r="J209" s="1"/>
      <c r="K209" s="1"/>
      <c r="L209" s="1"/>
      <c r="M209" s="1"/>
      <c r="N209" s="1"/>
      <c r="O209" s="1"/>
    </row>
    <row r="210" spans="1:15" ht="12.75">
      <c r="A210" s="1"/>
      <c r="B210" s="1"/>
      <c r="C210" s="1"/>
      <c r="D210" s="1"/>
      <c r="E210" s="1"/>
      <c r="F210" s="1"/>
      <c r="G210" s="1"/>
      <c r="H210" s="457"/>
      <c r="I210" s="1"/>
      <c r="J210" s="1"/>
      <c r="K210" s="1"/>
      <c r="L210" s="1"/>
      <c r="M210" s="1"/>
      <c r="N210" s="1"/>
      <c r="O210" s="1"/>
    </row>
    <row r="211" spans="1:15" ht="12.75">
      <c r="A211" s="1"/>
      <c r="B211" s="1"/>
      <c r="C211" s="1"/>
      <c r="D211" s="1"/>
      <c r="E211" s="1"/>
      <c r="F211" s="1"/>
      <c r="G211" s="1"/>
      <c r="H211" s="457"/>
      <c r="I211" s="1"/>
      <c r="J211" s="1"/>
      <c r="K211" s="1"/>
      <c r="L211" s="1"/>
      <c r="M211" s="1"/>
      <c r="N211" s="1"/>
      <c r="O211" s="1"/>
    </row>
    <row r="212" spans="1:15" ht="12.75">
      <c r="A212" s="1"/>
      <c r="B212" s="1"/>
      <c r="C212" s="1"/>
      <c r="D212" s="1"/>
      <c r="E212" s="1"/>
      <c r="F212" s="1"/>
      <c r="G212" s="1"/>
      <c r="H212" s="457"/>
      <c r="I212" s="1"/>
      <c r="J212" s="1"/>
      <c r="K212" s="1"/>
      <c r="L212" s="1"/>
      <c r="M212" s="1"/>
      <c r="N212" s="1"/>
      <c r="O212" s="1"/>
    </row>
    <row r="213" spans="1:15" ht="12.75">
      <c r="A213" s="1"/>
      <c r="B213" s="1"/>
      <c r="C213" s="1"/>
      <c r="D213" s="1"/>
      <c r="E213" s="1"/>
      <c r="F213" s="1"/>
      <c r="G213" s="1"/>
      <c r="H213" s="457"/>
      <c r="I213" s="1"/>
      <c r="J213" s="1"/>
      <c r="K213" s="1"/>
      <c r="L213" s="1"/>
      <c r="M213" s="1"/>
      <c r="N213" s="1"/>
      <c r="O213" s="1"/>
    </row>
    <row r="214" spans="1:15" ht="12.75">
      <c r="A214" s="1"/>
      <c r="B214" s="1"/>
      <c r="C214" s="1"/>
      <c r="D214" s="1"/>
      <c r="E214" s="1"/>
      <c r="F214" s="1"/>
      <c r="G214" s="1"/>
      <c r="H214" s="457"/>
      <c r="I214" s="1"/>
      <c r="J214" s="1"/>
      <c r="K214" s="1"/>
      <c r="L214" s="1"/>
      <c r="M214" s="1"/>
      <c r="N214" s="1"/>
      <c r="O214" s="1"/>
    </row>
    <row r="215" spans="1:15" ht="12.75">
      <c r="A215" s="1"/>
      <c r="B215" s="1"/>
      <c r="C215" s="1"/>
      <c r="D215" s="1"/>
      <c r="E215" s="1"/>
      <c r="F215" s="1"/>
      <c r="G215" s="1"/>
      <c r="H215" s="457"/>
      <c r="I215" s="1"/>
      <c r="J215" s="1"/>
      <c r="K215" s="1"/>
      <c r="L215" s="1"/>
      <c r="M215" s="1"/>
      <c r="N215" s="1"/>
      <c r="O215" s="1"/>
    </row>
    <row r="216" spans="1:15" ht="12.75">
      <c r="A216" s="1"/>
      <c r="B216" s="1"/>
      <c r="C216" s="1"/>
      <c r="D216" s="1"/>
      <c r="E216" s="1"/>
      <c r="F216" s="1"/>
      <c r="G216" s="1"/>
      <c r="H216" s="457"/>
      <c r="I216" s="1"/>
      <c r="J216" s="1"/>
      <c r="K216" s="1"/>
      <c r="L216" s="1"/>
      <c r="M216" s="1"/>
      <c r="N216" s="1"/>
      <c r="O216" s="1"/>
    </row>
    <row r="217" spans="1:15" ht="12.75">
      <c r="A217" s="1"/>
      <c r="B217" s="1"/>
      <c r="C217" s="1"/>
      <c r="D217" s="1"/>
      <c r="E217" s="1"/>
      <c r="F217" s="1"/>
      <c r="G217" s="1"/>
      <c r="H217" s="457"/>
      <c r="I217" s="1"/>
      <c r="J217" s="1"/>
      <c r="K217" s="1"/>
      <c r="L217" s="1"/>
      <c r="M217" s="1"/>
      <c r="N217" s="1"/>
      <c r="O217" s="1"/>
    </row>
    <row r="218" spans="1:15" ht="12.75">
      <c r="A218" s="1"/>
      <c r="B218" s="1"/>
      <c r="C218" s="1"/>
      <c r="D218" s="1"/>
      <c r="E218" s="1"/>
      <c r="F218" s="1"/>
      <c r="G218" s="1"/>
      <c r="H218" s="457"/>
      <c r="I218" s="1"/>
      <c r="J218" s="1"/>
      <c r="K218" s="1"/>
      <c r="L218" s="1"/>
      <c r="M218" s="1"/>
      <c r="N218" s="1"/>
      <c r="O218" s="1"/>
    </row>
    <row r="219" spans="1:15" ht="12.75">
      <c r="A219" s="1"/>
      <c r="B219" s="1"/>
      <c r="C219" s="1"/>
      <c r="D219" s="1"/>
      <c r="E219" s="1"/>
      <c r="F219" s="1"/>
      <c r="G219" s="1"/>
      <c r="H219" s="457"/>
      <c r="I219" s="1"/>
      <c r="J219" s="1"/>
      <c r="K219" s="1"/>
      <c r="L219" s="1"/>
      <c r="M219" s="1"/>
      <c r="N219" s="1"/>
      <c r="O219" s="1"/>
    </row>
    <row r="220" spans="1:15" ht="12.75">
      <c r="A220" s="1"/>
      <c r="B220" s="1"/>
      <c r="C220" s="1"/>
      <c r="D220" s="1"/>
      <c r="E220" s="1"/>
      <c r="F220" s="1"/>
      <c r="G220" s="1"/>
      <c r="H220" s="457"/>
      <c r="I220" s="1"/>
      <c r="J220" s="1"/>
      <c r="K220" s="1"/>
      <c r="L220" s="1"/>
      <c r="M220" s="1"/>
      <c r="N220" s="1"/>
      <c r="O220" s="1"/>
    </row>
    <row r="221" spans="1:15" ht="12.75">
      <c r="A221" s="1"/>
      <c r="B221" s="1"/>
      <c r="C221" s="1"/>
      <c r="D221" s="1"/>
      <c r="E221" s="1"/>
      <c r="F221" s="1"/>
      <c r="G221" s="1"/>
      <c r="H221" s="457"/>
      <c r="I221" s="1"/>
      <c r="J221" s="1"/>
      <c r="K221" s="1"/>
      <c r="L221" s="1"/>
      <c r="M221" s="1"/>
      <c r="N221" s="1"/>
      <c r="O221" s="1"/>
    </row>
    <row r="222" spans="1:15" ht="12.75">
      <c r="A222" s="1"/>
      <c r="B222" s="1"/>
      <c r="C222" s="1"/>
      <c r="D222" s="1"/>
      <c r="E222" s="1"/>
      <c r="F222" s="1"/>
      <c r="G222" s="1"/>
      <c r="H222" s="457"/>
      <c r="I222" s="1"/>
      <c r="J222" s="1"/>
      <c r="K222" s="1"/>
      <c r="L222" s="1"/>
      <c r="M222" s="1"/>
      <c r="N222" s="1"/>
      <c r="O222" s="1"/>
    </row>
    <row r="223" spans="1:15" ht="12.75">
      <c r="A223" s="1"/>
      <c r="B223" s="1"/>
      <c r="C223" s="1"/>
      <c r="D223" s="1"/>
      <c r="E223" s="1"/>
      <c r="F223" s="1"/>
      <c r="G223" s="1"/>
      <c r="H223" s="457"/>
      <c r="I223" s="1"/>
      <c r="J223" s="1"/>
      <c r="K223" s="1"/>
      <c r="L223" s="1"/>
      <c r="M223" s="1"/>
      <c r="N223" s="1"/>
      <c r="O223" s="1"/>
    </row>
    <row r="224" spans="1:15" ht="12.75">
      <c r="A224" s="1"/>
      <c r="B224" s="1"/>
      <c r="C224" s="1"/>
      <c r="D224" s="1"/>
      <c r="E224" s="1"/>
      <c r="F224" s="1"/>
      <c r="G224" s="1"/>
      <c r="H224" s="457"/>
      <c r="I224" s="1"/>
      <c r="J224" s="1"/>
      <c r="K224" s="1"/>
      <c r="L224" s="1"/>
      <c r="M224" s="1"/>
      <c r="N224" s="1"/>
      <c r="O224" s="1"/>
    </row>
    <row r="225" spans="1:15" ht="12.75">
      <c r="A225" s="1"/>
      <c r="B225" s="1"/>
      <c r="C225" s="1"/>
      <c r="D225" s="1"/>
      <c r="E225" s="1"/>
      <c r="F225" s="1"/>
      <c r="G225" s="1"/>
      <c r="H225" s="457"/>
      <c r="I225" s="1"/>
      <c r="J225" s="1"/>
      <c r="K225" s="1"/>
      <c r="L225" s="1"/>
      <c r="M225" s="1"/>
      <c r="N225" s="1"/>
      <c r="O225" s="1"/>
    </row>
    <row r="226" spans="1:15" ht="12.75">
      <c r="A226" s="1"/>
      <c r="B226" s="1"/>
      <c r="C226" s="1"/>
      <c r="D226" s="1"/>
      <c r="E226" s="1"/>
      <c r="F226" s="1"/>
      <c r="G226" s="1"/>
      <c r="H226" s="457"/>
      <c r="I226" s="1"/>
      <c r="J226" s="1"/>
      <c r="K226" s="1"/>
      <c r="L226" s="1"/>
      <c r="M226" s="1"/>
      <c r="N226" s="1"/>
      <c r="O226" s="1"/>
    </row>
    <row r="227" spans="1:15" ht="12.75">
      <c r="A227" s="1"/>
      <c r="B227" s="1"/>
      <c r="C227" s="1"/>
      <c r="D227" s="1"/>
      <c r="E227" s="1"/>
      <c r="F227" s="1"/>
      <c r="G227" s="1"/>
      <c r="H227" s="457"/>
      <c r="I227" s="1"/>
      <c r="J227" s="1"/>
      <c r="K227" s="1"/>
      <c r="L227" s="1"/>
      <c r="M227" s="1"/>
      <c r="N227" s="1"/>
      <c r="O227" s="1"/>
    </row>
    <row r="228" spans="1:15" ht="12.75">
      <c r="A228" s="1"/>
      <c r="B228" s="1"/>
      <c r="C228" s="1"/>
      <c r="D228" s="1"/>
      <c r="E228" s="1"/>
      <c r="F228" s="1"/>
      <c r="G228" s="1"/>
      <c r="H228" s="457"/>
      <c r="I228" s="1"/>
      <c r="J228" s="1"/>
      <c r="K228" s="1"/>
      <c r="L228" s="1"/>
      <c r="M228" s="1"/>
      <c r="N228" s="1"/>
      <c r="O228" s="1"/>
    </row>
    <row r="229" spans="1:15" ht="12.75">
      <c r="A229" s="1"/>
      <c r="B229" s="1"/>
      <c r="C229" s="1"/>
      <c r="D229" s="1"/>
      <c r="E229" s="1"/>
      <c r="F229" s="1"/>
      <c r="G229" s="1"/>
      <c r="H229" s="457"/>
      <c r="I229" s="1"/>
      <c r="J229" s="1"/>
      <c r="K229" s="1"/>
      <c r="L229" s="1"/>
      <c r="M229" s="1"/>
      <c r="N229" s="1"/>
      <c r="O229" s="1"/>
    </row>
    <row r="230" spans="1:15" ht="12.75">
      <c r="A230" s="1"/>
      <c r="B230" s="1"/>
      <c r="C230" s="1"/>
      <c r="D230" s="1"/>
      <c r="E230" s="1"/>
      <c r="F230" s="1"/>
      <c r="G230" s="1"/>
      <c r="H230" s="457"/>
      <c r="I230" s="1"/>
      <c r="J230" s="1"/>
      <c r="K230" s="1"/>
      <c r="L230" s="1"/>
      <c r="M230" s="1"/>
      <c r="N230" s="1"/>
      <c r="O230" s="1"/>
    </row>
    <row r="231" spans="1:15" ht="12.75">
      <c r="A231" s="1"/>
      <c r="B231" s="1"/>
      <c r="C231" s="1"/>
      <c r="D231" s="1"/>
      <c r="E231" s="1"/>
      <c r="F231" s="1"/>
      <c r="G231" s="1"/>
      <c r="H231" s="457"/>
      <c r="I231" s="1"/>
      <c r="J231" s="1"/>
      <c r="K231" s="1"/>
      <c r="L231" s="1"/>
      <c r="M231" s="1"/>
      <c r="N231" s="1"/>
      <c r="O231" s="1"/>
    </row>
    <row r="232" spans="1:15" ht="12.75">
      <c r="A232" s="1"/>
      <c r="B232" s="1"/>
      <c r="C232" s="1"/>
      <c r="D232" s="1"/>
      <c r="E232" s="1"/>
      <c r="F232" s="1"/>
      <c r="G232" s="1"/>
      <c r="H232" s="457"/>
      <c r="I232" s="1"/>
      <c r="J232" s="1"/>
      <c r="K232" s="1"/>
      <c r="L232" s="1"/>
      <c r="M232" s="1"/>
      <c r="N232" s="1"/>
      <c r="O232" s="1"/>
    </row>
    <row r="233" spans="1:15" ht="12.75">
      <c r="A233" s="1"/>
      <c r="B233" s="1"/>
      <c r="C233" s="1"/>
      <c r="D233" s="1"/>
      <c r="E233" s="1"/>
      <c r="F233" s="1"/>
      <c r="G233" s="1"/>
      <c r="H233" s="457"/>
      <c r="I233" s="1"/>
      <c r="J233" s="1"/>
      <c r="K233" s="1"/>
      <c r="L233" s="1"/>
      <c r="M233" s="1"/>
      <c r="N233" s="1"/>
      <c r="O233" s="1"/>
    </row>
    <row r="234" spans="1:15" ht="12.75">
      <c r="A234" s="1"/>
      <c r="B234" s="1"/>
      <c r="C234" s="1"/>
      <c r="D234" s="1"/>
      <c r="E234" s="1"/>
      <c r="F234" s="1"/>
      <c r="G234" s="1"/>
      <c r="H234" s="457"/>
      <c r="I234" s="1"/>
      <c r="J234" s="1"/>
      <c r="K234" s="1"/>
      <c r="L234" s="1"/>
      <c r="M234" s="1"/>
      <c r="N234" s="1"/>
      <c r="O234" s="1"/>
    </row>
    <row r="235" spans="1:15" ht="12.75">
      <c r="A235" s="1"/>
      <c r="B235" s="1"/>
      <c r="C235" s="1"/>
      <c r="D235" s="1"/>
      <c r="E235" s="1"/>
      <c r="F235" s="1"/>
      <c r="G235" s="1"/>
      <c r="H235" s="457"/>
      <c r="I235" s="1"/>
      <c r="J235" s="1"/>
      <c r="K235" s="1"/>
      <c r="L235" s="1"/>
      <c r="M235" s="1"/>
      <c r="N235" s="1"/>
      <c r="O235" s="1"/>
    </row>
    <row r="236" spans="1:15" ht="12.75">
      <c r="A236" s="1"/>
      <c r="B236" s="1"/>
      <c r="C236" s="1"/>
      <c r="D236" s="1"/>
      <c r="E236" s="1"/>
      <c r="F236" s="1"/>
      <c r="G236" s="1"/>
      <c r="H236" s="457"/>
      <c r="I236" s="1"/>
      <c r="J236" s="1"/>
      <c r="K236" s="1"/>
      <c r="L236" s="1"/>
      <c r="M236" s="1"/>
      <c r="N236" s="1"/>
      <c r="O236" s="1"/>
    </row>
    <row r="237" spans="1:15" ht="12.75">
      <c r="A237" s="1"/>
      <c r="B237" s="1"/>
      <c r="C237" s="1"/>
      <c r="D237" s="1"/>
      <c r="E237" s="1"/>
      <c r="F237" s="1"/>
      <c r="G237" s="1"/>
      <c r="H237" s="457"/>
      <c r="I237" s="1"/>
      <c r="J237" s="1"/>
      <c r="K237" s="1"/>
      <c r="L237" s="1"/>
      <c r="M237" s="1"/>
      <c r="N237" s="1"/>
      <c r="O237" s="1"/>
    </row>
    <row r="238" spans="1:15" ht="12.75">
      <c r="A238" s="1"/>
      <c r="B238" s="1"/>
      <c r="C238" s="1"/>
      <c r="D238" s="1"/>
      <c r="E238" s="1"/>
      <c r="F238" s="1"/>
      <c r="G238" s="1"/>
      <c r="H238" s="457"/>
      <c r="I238" s="1"/>
      <c r="J238" s="1"/>
      <c r="K238" s="1"/>
      <c r="L238" s="1"/>
      <c r="M238" s="1"/>
      <c r="N238" s="1"/>
      <c r="O238" s="1"/>
    </row>
    <row r="239" spans="1:15" ht="12.75">
      <c r="A239" s="1"/>
      <c r="B239" s="1"/>
      <c r="C239" s="1"/>
      <c r="D239" s="1"/>
      <c r="E239" s="1"/>
      <c r="F239" s="1"/>
      <c r="G239" s="1"/>
      <c r="H239" s="457"/>
      <c r="I239" s="1"/>
      <c r="J239" s="1"/>
      <c r="K239" s="1"/>
      <c r="L239" s="1"/>
      <c r="M239" s="1"/>
      <c r="N239" s="1"/>
      <c r="O239" s="1"/>
    </row>
    <row r="240" spans="1:15" ht="12.75">
      <c r="A240" s="1"/>
      <c r="B240" s="1"/>
      <c r="C240" s="1"/>
      <c r="D240" s="1"/>
      <c r="E240" s="1"/>
      <c r="F240" s="1"/>
      <c r="G240" s="1"/>
      <c r="H240" s="457"/>
      <c r="I240" s="1"/>
      <c r="J240" s="1"/>
      <c r="K240" s="1"/>
      <c r="L240" s="1"/>
      <c r="M240" s="1"/>
      <c r="N240" s="1"/>
      <c r="O240" s="1"/>
    </row>
    <row r="241" spans="1:15" ht="12.75">
      <c r="A241" s="1"/>
      <c r="B241" s="1"/>
      <c r="C241" s="1"/>
      <c r="D241" s="1"/>
      <c r="E241" s="1"/>
      <c r="F241" s="1"/>
      <c r="G241" s="1"/>
      <c r="H241" s="457"/>
      <c r="I241" s="1"/>
      <c r="J241" s="1"/>
      <c r="K241" s="1"/>
      <c r="L241" s="1"/>
      <c r="M241" s="1"/>
      <c r="N241" s="1"/>
      <c r="O241" s="1"/>
    </row>
    <row r="242" spans="1:15" ht="12.75">
      <c r="A242" s="1"/>
      <c r="B242" s="1"/>
      <c r="C242" s="1"/>
      <c r="D242" s="1"/>
      <c r="E242" s="1"/>
      <c r="F242" s="1"/>
      <c r="G242" s="1"/>
      <c r="H242" s="457"/>
      <c r="I242" s="1"/>
      <c r="J242" s="1"/>
      <c r="K242" s="1"/>
      <c r="L242" s="1"/>
      <c r="M242" s="1"/>
      <c r="N242" s="1"/>
      <c r="O242" s="1"/>
    </row>
    <row r="243" spans="1:15" ht="12.75">
      <c r="A243" s="1"/>
      <c r="B243" s="1"/>
      <c r="C243" s="1"/>
      <c r="D243" s="1"/>
      <c r="E243" s="1"/>
      <c r="F243" s="1"/>
      <c r="G243" s="1"/>
      <c r="H243" s="457"/>
      <c r="I243" s="1"/>
      <c r="J243" s="1"/>
      <c r="K243" s="1"/>
      <c r="L243" s="1"/>
      <c r="M243" s="1"/>
      <c r="N243" s="1"/>
      <c r="O243" s="1"/>
    </row>
    <row r="244" spans="1:15" ht="12.75">
      <c r="A244" s="1"/>
      <c r="B244" s="1"/>
      <c r="C244" s="1"/>
      <c r="D244" s="1"/>
      <c r="E244" s="1"/>
      <c r="F244" s="1"/>
      <c r="G244" s="1"/>
      <c r="H244" s="457"/>
      <c r="I244" s="1"/>
      <c r="J244" s="1"/>
      <c r="K244" s="1"/>
      <c r="L244" s="1"/>
      <c r="M244" s="1"/>
      <c r="N244" s="1"/>
      <c r="O244" s="1"/>
    </row>
    <row r="245" spans="1:15" ht="12.75">
      <c r="A245" s="1"/>
      <c r="B245" s="1"/>
      <c r="C245" s="1"/>
      <c r="D245" s="1"/>
      <c r="E245" s="1"/>
      <c r="F245" s="1"/>
      <c r="G245" s="1"/>
      <c r="H245" s="457"/>
      <c r="I245" s="1"/>
      <c r="J245" s="1"/>
      <c r="K245" s="1"/>
      <c r="L245" s="1"/>
      <c r="M245" s="1"/>
      <c r="N245" s="1"/>
      <c r="O245" s="1"/>
    </row>
    <row r="246" spans="1:15" ht="12.75">
      <c r="A246" s="1"/>
      <c r="B246" s="1"/>
      <c r="C246" s="1"/>
      <c r="D246" s="1"/>
      <c r="E246" s="1"/>
      <c r="F246" s="1"/>
      <c r="G246" s="1"/>
      <c r="H246" s="457"/>
      <c r="I246" s="1"/>
      <c r="J246" s="1"/>
      <c r="K246" s="1"/>
      <c r="L246" s="1"/>
      <c r="M246" s="1"/>
      <c r="N246" s="1"/>
      <c r="O246" s="1"/>
    </row>
    <row r="247" spans="1:15" ht="12.75">
      <c r="A247" s="1"/>
      <c r="B247" s="1"/>
      <c r="C247" s="1"/>
      <c r="D247" s="1"/>
      <c r="E247" s="1"/>
      <c r="F247" s="1"/>
      <c r="G247" s="1"/>
      <c r="H247" s="457"/>
      <c r="I247" s="1"/>
      <c r="J247" s="1"/>
      <c r="K247" s="1"/>
      <c r="L247" s="1"/>
      <c r="M247" s="1"/>
      <c r="N247" s="1"/>
      <c r="O247" s="1"/>
    </row>
    <row r="248" spans="1:15" ht="12.75">
      <c r="A248" s="1"/>
      <c r="B248" s="1"/>
      <c r="C248" s="1"/>
      <c r="D248" s="1"/>
      <c r="E248" s="1"/>
      <c r="F248" s="1"/>
      <c r="G248" s="1"/>
      <c r="H248" s="457"/>
      <c r="I248" s="1"/>
      <c r="J248" s="1"/>
      <c r="K248" s="1"/>
      <c r="L248" s="1"/>
      <c r="M248" s="1"/>
      <c r="N248" s="1"/>
      <c r="O248" s="1"/>
    </row>
    <row r="249" spans="1:15" ht="12.75">
      <c r="A249" s="1"/>
      <c r="B249" s="1"/>
      <c r="C249" s="1"/>
      <c r="D249" s="1"/>
      <c r="E249" s="1"/>
      <c r="F249" s="1"/>
      <c r="G249" s="1"/>
      <c r="H249" s="457"/>
      <c r="I249" s="1"/>
      <c r="J249" s="1"/>
      <c r="K249" s="1"/>
      <c r="L249" s="1"/>
      <c r="M249" s="1"/>
      <c r="N249" s="1"/>
      <c r="O249" s="1"/>
    </row>
    <row r="250" spans="1:15" ht="12.75">
      <c r="A250" s="1"/>
      <c r="B250" s="1"/>
      <c r="C250" s="1"/>
      <c r="D250" s="1"/>
      <c r="E250" s="1"/>
      <c r="F250" s="1"/>
      <c r="G250" s="1"/>
      <c r="H250" s="457"/>
      <c r="I250" s="1"/>
      <c r="J250" s="1"/>
      <c r="K250" s="1"/>
      <c r="L250" s="1"/>
      <c r="M250" s="1"/>
      <c r="N250" s="1"/>
      <c r="O250" s="1"/>
    </row>
    <row r="251" spans="1:15" ht="12.75">
      <c r="A251" s="1"/>
      <c r="B251" s="1"/>
      <c r="C251" s="1"/>
      <c r="D251" s="1"/>
      <c r="E251" s="1"/>
      <c r="F251" s="1"/>
      <c r="G251" s="1"/>
      <c r="H251" s="457"/>
      <c r="I251" s="1"/>
      <c r="J251" s="1"/>
      <c r="K251" s="1"/>
      <c r="L251" s="1"/>
      <c r="M251" s="1"/>
      <c r="N251" s="1"/>
      <c r="O251" s="1"/>
    </row>
    <row r="252" spans="1:15" ht="12.75">
      <c r="A252" s="1"/>
      <c r="B252" s="1"/>
      <c r="C252" s="1"/>
      <c r="D252" s="1"/>
      <c r="E252" s="1"/>
      <c r="F252" s="1"/>
      <c r="G252" s="1"/>
      <c r="H252" s="457"/>
      <c r="I252" s="1"/>
      <c r="J252" s="1"/>
      <c r="K252" s="1"/>
      <c r="L252" s="1"/>
      <c r="M252" s="1"/>
      <c r="N252" s="1"/>
      <c r="O252" s="1"/>
    </row>
    <row r="253" spans="1:15" ht="12.75">
      <c r="A253" s="1"/>
      <c r="B253" s="1"/>
      <c r="C253" s="1"/>
      <c r="D253" s="1"/>
      <c r="E253" s="1"/>
      <c r="F253" s="1"/>
      <c r="G253" s="1"/>
      <c r="H253" s="457"/>
      <c r="I253" s="1"/>
      <c r="J253" s="1"/>
      <c r="K253" s="1"/>
      <c r="L253" s="1"/>
      <c r="M253" s="1"/>
      <c r="N253" s="1"/>
      <c r="O253" s="1"/>
    </row>
    <row r="254" spans="1:15" ht="12.75">
      <c r="A254" s="1"/>
      <c r="B254" s="1"/>
      <c r="C254" s="1"/>
      <c r="D254" s="1"/>
      <c r="E254" s="1"/>
      <c r="F254" s="1"/>
      <c r="G254" s="1"/>
      <c r="H254" s="457"/>
      <c r="I254" s="1"/>
      <c r="J254" s="1"/>
      <c r="K254" s="1"/>
      <c r="L254" s="1"/>
      <c r="M254" s="1"/>
      <c r="N254" s="1"/>
      <c r="O254" s="1"/>
    </row>
    <row r="255" spans="1:15" ht="12.75">
      <c r="A255" s="1"/>
      <c r="B255" s="1"/>
      <c r="C255" s="1"/>
      <c r="D255" s="1"/>
      <c r="E255" s="1"/>
      <c r="F255" s="1"/>
      <c r="G255" s="1"/>
      <c r="H255" s="457"/>
      <c r="I255" s="1"/>
      <c r="J255" s="1"/>
      <c r="K255" s="1"/>
      <c r="L255" s="1"/>
      <c r="M255" s="1"/>
      <c r="N255" s="1"/>
      <c r="O255" s="1"/>
    </row>
    <row r="256" spans="1:15" ht="12.75">
      <c r="A256" s="1"/>
      <c r="B256" s="1"/>
      <c r="C256" s="1"/>
      <c r="D256" s="1"/>
      <c r="E256" s="1"/>
      <c r="F256" s="1"/>
      <c r="G256" s="1"/>
      <c r="H256" s="457"/>
      <c r="I256" s="1"/>
      <c r="J256" s="1"/>
      <c r="K256" s="1"/>
      <c r="L256" s="1"/>
      <c r="M256" s="1"/>
      <c r="N256" s="1"/>
      <c r="O256" s="1"/>
    </row>
    <row r="257" spans="1:15" ht="12.75">
      <c r="A257" s="1"/>
      <c r="B257" s="1"/>
      <c r="C257" s="1"/>
      <c r="D257" s="1"/>
      <c r="E257" s="1"/>
      <c r="F257" s="1"/>
      <c r="G257" s="1"/>
      <c r="H257" s="457"/>
      <c r="I257" s="1"/>
      <c r="J257" s="1"/>
      <c r="K257" s="1"/>
      <c r="L257" s="1"/>
      <c r="M257" s="1"/>
      <c r="N257" s="1"/>
      <c r="O257" s="1"/>
    </row>
    <row r="258" spans="1:15" ht="12.75">
      <c r="A258" s="1"/>
      <c r="B258" s="1"/>
      <c r="C258" s="1"/>
      <c r="D258" s="1"/>
      <c r="E258" s="1"/>
      <c r="F258" s="1"/>
      <c r="G258" s="1"/>
      <c r="H258" s="457"/>
      <c r="I258" s="1"/>
      <c r="J258" s="1"/>
      <c r="K258" s="1"/>
      <c r="L258" s="1"/>
      <c r="M258" s="1"/>
      <c r="N258" s="1"/>
      <c r="O258" s="1"/>
    </row>
    <row r="259" spans="1:15" ht="12.75">
      <c r="A259" s="1"/>
      <c r="B259" s="1"/>
      <c r="C259" s="1"/>
      <c r="D259" s="1"/>
      <c r="E259" s="1"/>
      <c r="F259" s="1"/>
      <c r="G259" s="1"/>
      <c r="H259" s="457"/>
      <c r="I259" s="1"/>
      <c r="J259" s="1"/>
      <c r="K259" s="1"/>
      <c r="L259" s="1"/>
      <c r="M259" s="1"/>
      <c r="N259" s="1"/>
      <c r="O259" s="1"/>
    </row>
    <row r="260" spans="1:15" ht="12.75">
      <c r="A260" s="1"/>
      <c r="B260" s="1"/>
      <c r="C260" s="1"/>
      <c r="D260" s="1"/>
      <c r="E260" s="1"/>
      <c r="F260" s="1"/>
      <c r="G260" s="1"/>
      <c r="H260" s="457"/>
      <c r="I260" s="1"/>
      <c r="J260" s="1"/>
      <c r="K260" s="1"/>
      <c r="L260" s="1"/>
      <c r="M260" s="1"/>
      <c r="N260" s="1"/>
      <c r="O260" s="1"/>
    </row>
    <row r="261" spans="1:15" ht="12.75">
      <c r="A261" s="1"/>
      <c r="B261" s="1"/>
      <c r="C261" s="1"/>
      <c r="D261" s="1"/>
      <c r="E261" s="1"/>
      <c r="F261" s="1"/>
      <c r="G261" s="1"/>
      <c r="H261" s="457"/>
      <c r="I261" s="1"/>
      <c r="J261" s="1"/>
      <c r="K261" s="1"/>
      <c r="L261" s="1"/>
      <c r="M261" s="1"/>
      <c r="N261" s="1"/>
      <c r="O261" s="1"/>
    </row>
    <row r="262" spans="1:15" ht="12.75">
      <c r="A262" s="1"/>
      <c r="B262" s="1"/>
      <c r="C262" s="1"/>
      <c r="D262" s="1"/>
      <c r="E262" s="1"/>
      <c r="F262" s="1"/>
      <c r="G262" s="1"/>
      <c r="H262" s="457"/>
      <c r="I262" s="1"/>
      <c r="J262" s="1"/>
      <c r="K262" s="1"/>
      <c r="L262" s="1"/>
      <c r="M262" s="1"/>
      <c r="N262" s="1"/>
      <c r="O262" s="1"/>
    </row>
    <row r="263" spans="1:15" ht="12.75">
      <c r="A263" s="1"/>
      <c r="B263" s="1"/>
      <c r="C263" s="1"/>
      <c r="D263" s="1"/>
      <c r="E263" s="1"/>
      <c r="F263" s="1"/>
      <c r="G263" s="1"/>
      <c r="H263" s="457"/>
      <c r="I263" s="1"/>
      <c r="J263" s="1"/>
      <c r="K263" s="1"/>
      <c r="L263" s="1"/>
      <c r="M263" s="1"/>
      <c r="N263" s="1"/>
      <c r="O263" s="1"/>
    </row>
    <row r="264" spans="1:15" ht="12.75">
      <c r="A264" s="1"/>
      <c r="B264" s="1"/>
      <c r="C264" s="1"/>
      <c r="D264" s="1"/>
      <c r="E264" s="1"/>
      <c r="F264" s="1"/>
      <c r="G264" s="1"/>
      <c r="H264" s="457"/>
      <c r="I264" s="1"/>
      <c r="J264" s="1"/>
      <c r="K264" s="1"/>
      <c r="L264" s="1"/>
      <c r="M264" s="1"/>
      <c r="N264" s="1"/>
      <c r="O264" s="1"/>
    </row>
    <row r="265" spans="1:15" ht="12.75">
      <c r="A265" s="1"/>
      <c r="B265" s="1"/>
      <c r="C265" s="1"/>
      <c r="D265" s="1"/>
      <c r="E265" s="1"/>
      <c r="F265" s="1"/>
      <c r="G265" s="1"/>
      <c r="H265" s="457"/>
      <c r="I265" s="1"/>
      <c r="J265" s="1"/>
      <c r="K265" s="1"/>
      <c r="L265" s="1"/>
      <c r="M265" s="1"/>
      <c r="N265" s="1"/>
      <c r="O265" s="1"/>
    </row>
  </sheetData>
  <sheetProtection/>
  <mergeCells count="4">
    <mergeCell ref="A1:N1"/>
    <mergeCell ref="A2:N2"/>
    <mergeCell ref="A3:N3"/>
    <mergeCell ref="A4:N4"/>
  </mergeCells>
  <printOptions horizontalCentered="1"/>
  <pageMargins left="0.25" right="0.2362204724409449" top="0.77" bottom="0.2362204724409449" header="0.32" footer="0"/>
  <pageSetup horizontalDpi="600" verticalDpi="600" orientation="portrait" scale="44" r:id="rId1"/>
  <rowBreaks count="1" manualBreakCount="1">
    <brk id="188" max="8" man="1"/>
  </rowBreaks>
</worksheet>
</file>

<file path=xl/worksheets/sheet2.xml><?xml version="1.0" encoding="utf-8"?>
<worksheet xmlns="http://schemas.openxmlformats.org/spreadsheetml/2006/main" xmlns:r="http://schemas.openxmlformats.org/officeDocument/2006/relationships">
  <dimension ref="A1:IV141"/>
  <sheetViews>
    <sheetView zoomScalePageLayoutView="0" workbookViewId="0" topLeftCell="A1">
      <selection activeCell="C16" sqref="C16"/>
    </sheetView>
  </sheetViews>
  <sheetFormatPr defaultColWidth="11.421875" defaultRowHeight="12.75"/>
  <cols>
    <col min="1" max="1" width="45.00390625" style="0" customWidth="1"/>
    <col min="2" max="2" width="19.421875" style="4" bestFit="1" customWidth="1"/>
    <col min="3" max="3" width="22.57421875" style="0" bestFit="1" customWidth="1"/>
    <col min="4" max="4" width="7.7109375" style="0" customWidth="1"/>
    <col min="5" max="5" width="21.140625" style="0" customWidth="1"/>
    <col min="6" max="6" width="10.00390625" style="0" customWidth="1"/>
  </cols>
  <sheetData>
    <row r="1" spans="1:6" ht="15">
      <c r="A1" s="474" t="s">
        <v>18</v>
      </c>
      <c r="B1" s="474"/>
      <c r="C1" s="474"/>
      <c r="D1" s="474"/>
      <c r="E1" s="474"/>
      <c r="F1" s="93"/>
    </row>
    <row r="2" spans="1:6" ht="15">
      <c r="A2" s="474" t="s">
        <v>51</v>
      </c>
      <c r="B2" s="474"/>
      <c r="C2" s="474"/>
      <c r="D2" s="474"/>
      <c r="E2" s="474"/>
      <c r="F2" s="93"/>
    </row>
    <row r="3" spans="1:256" ht="15">
      <c r="A3" s="472" t="s">
        <v>52</v>
      </c>
      <c r="B3" s="472"/>
      <c r="C3" s="472"/>
      <c r="D3" s="472"/>
      <c r="E3" s="472"/>
      <c r="F3" s="93"/>
      <c r="G3" s="472"/>
      <c r="H3" s="472"/>
      <c r="I3" s="472"/>
      <c r="J3" s="472"/>
      <c r="K3" s="472"/>
      <c r="L3" s="182"/>
      <c r="M3" s="472"/>
      <c r="N3" s="472"/>
      <c r="O3" s="472"/>
      <c r="P3" s="472"/>
      <c r="Q3" s="472"/>
      <c r="R3" s="182"/>
      <c r="S3" s="472"/>
      <c r="T3" s="472"/>
      <c r="U3" s="472"/>
      <c r="V3" s="472"/>
      <c r="W3" s="472"/>
      <c r="X3" s="182"/>
      <c r="Y3" s="472"/>
      <c r="Z3" s="472"/>
      <c r="AA3" s="472"/>
      <c r="AB3" s="472"/>
      <c r="AC3" s="472"/>
      <c r="AD3" s="182"/>
      <c r="AE3" s="472"/>
      <c r="AF3" s="472"/>
      <c r="AG3" s="472"/>
      <c r="AH3" s="472"/>
      <c r="AI3" s="472"/>
      <c r="AJ3" s="182"/>
      <c r="AK3" s="472"/>
      <c r="AL3" s="472"/>
      <c r="AM3" s="472"/>
      <c r="AN3" s="472"/>
      <c r="AO3" s="472"/>
      <c r="AP3" s="182"/>
      <c r="AQ3" s="472"/>
      <c r="AR3" s="472"/>
      <c r="AS3" s="472"/>
      <c r="AT3" s="472"/>
      <c r="AU3" s="472"/>
      <c r="AV3" s="182"/>
      <c r="AW3" s="472"/>
      <c r="AX3" s="472"/>
      <c r="AY3" s="472"/>
      <c r="AZ3" s="472"/>
      <c r="BA3" s="472"/>
      <c r="BB3" s="182"/>
      <c r="BC3" s="472"/>
      <c r="BD3" s="472"/>
      <c r="BE3" s="472"/>
      <c r="BF3" s="472"/>
      <c r="BG3" s="472"/>
      <c r="BH3" s="182"/>
      <c r="BI3" s="472"/>
      <c r="BJ3" s="472"/>
      <c r="BK3" s="472"/>
      <c r="BL3" s="472"/>
      <c r="BM3" s="472"/>
      <c r="BN3" s="182"/>
      <c r="BO3" s="472"/>
      <c r="BP3" s="472"/>
      <c r="BQ3" s="472"/>
      <c r="BR3" s="472"/>
      <c r="BS3" s="472"/>
      <c r="BT3" s="182"/>
      <c r="BU3" s="472"/>
      <c r="BV3" s="472"/>
      <c r="BW3" s="472"/>
      <c r="BX3" s="472"/>
      <c r="BY3" s="472"/>
      <c r="BZ3" s="182"/>
      <c r="CA3" s="472"/>
      <c r="CB3" s="472"/>
      <c r="CC3" s="472"/>
      <c r="CD3" s="472"/>
      <c r="CE3" s="472"/>
      <c r="CF3" s="182"/>
      <c r="CG3" s="472"/>
      <c r="CH3" s="472"/>
      <c r="CI3" s="472"/>
      <c r="CJ3" s="472"/>
      <c r="CK3" s="472"/>
      <c r="CL3" s="182"/>
      <c r="CM3" s="472"/>
      <c r="CN3" s="472"/>
      <c r="CO3" s="472"/>
      <c r="CP3" s="472"/>
      <c r="CQ3" s="472"/>
      <c r="CR3" s="182"/>
      <c r="CS3" s="472"/>
      <c r="CT3" s="472"/>
      <c r="CU3" s="472"/>
      <c r="CV3" s="472"/>
      <c r="CW3" s="472"/>
      <c r="CX3" s="182"/>
      <c r="CY3" s="472"/>
      <c r="CZ3" s="472"/>
      <c r="DA3" s="472"/>
      <c r="DB3" s="472"/>
      <c r="DC3" s="472"/>
      <c r="DD3" s="182"/>
      <c r="DE3" s="472"/>
      <c r="DF3" s="472"/>
      <c r="DG3" s="472"/>
      <c r="DH3" s="472"/>
      <c r="DI3" s="472"/>
      <c r="DJ3" s="182"/>
      <c r="DK3" s="472"/>
      <c r="DL3" s="472"/>
      <c r="DM3" s="472"/>
      <c r="DN3" s="472"/>
      <c r="DO3" s="472"/>
      <c r="DP3" s="182"/>
      <c r="DQ3" s="472"/>
      <c r="DR3" s="472"/>
      <c r="DS3" s="472"/>
      <c r="DT3" s="472"/>
      <c r="DU3" s="472"/>
      <c r="DV3" s="182"/>
      <c r="DW3" s="472"/>
      <c r="DX3" s="472"/>
      <c r="DY3" s="472"/>
      <c r="DZ3" s="472"/>
      <c r="EA3" s="472"/>
      <c r="EB3" s="182"/>
      <c r="EC3" s="472"/>
      <c r="ED3" s="472"/>
      <c r="EE3" s="472"/>
      <c r="EF3" s="472"/>
      <c r="EG3" s="472"/>
      <c r="EH3" s="182"/>
      <c r="EI3" s="472"/>
      <c r="EJ3" s="472"/>
      <c r="EK3" s="472"/>
      <c r="EL3" s="472"/>
      <c r="EM3" s="472"/>
      <c r="EN3" s="182"/>
      <c r="EO3" s="472"/>
      <c r="EP3" s="472"/>
      <c r="EQ3" s="472"/>
      <c r="ER3" s="472"/>
      <c r="ES3" s="472"/>
      <c r="ET3" s="182"/>
      <c r="EU3" s="472"/>
      <c r="EV3" s="472"/>
      <c r="EW3" s="472"/>
      <c r="EX3" s="472"/>
      <c r="EY3" s="472"/>
      <c r="EZ3" s="182"/>
      <c r="FA3" s="472"/>
      <c r="FB3" s="472"/>
      <c r="FC3" s="472"/>
      <c r="FD3" s="472"/>
      <c r="FE3" s="472"/>
      <c r="FF3" s="182"/>
      <c r="FG3" s="472"/>
      <c r="FH3" s="472"/>
      <c r="FI3" s="472"/>
      <c r="FJ3" s="472"/>
      <c r="FK3" s="472"/>
      <c r="FL3" s="182"/>
      <c r="FM3" s="472"/>
      <c r="FN3" s="472"/>
      <c r="FO3" s="472"/>
      <c r="FP3" s="472"/>
      <c r="FQ3" s="472"/>
      <c r="FR3" s="182"/>
      <c r="FS3" s="472"/>
      <c r="FT3" s="472"/>
      <c r="FU3" s="472"/>
      <c r="FV3" s="472"/>
      <c r="FW3" s="472"/>
      <c r="FX3" s="182"/>
      <c r="FY3" s="472"/>
      <c r="FZ3" s="472"/>
      <c r="GA3" s="472"/>
      <c r="GB3" s="472"/>
      <c r="GC3" s="472"/>
      <c r="GD3" s="182"/>
      <c r="GE3" s="472"/>
      <c r="GF3" s="472"/>
      <c r="GG3" s="472"/>
      <c r="GH3" s="472"/>
      <c r="GI3" s="472"/>
      <c r="GJ3" s="182"/>
      <c r="GK3" s="472"/>
      <c r="GL3" s="472"/>
      <c r="GM3" s="472"/>
      <c r="GN3" s="472"/>
      <c r="GO3" s="472"/>
      <c r="GP3" s="182"/>
      <c r="GQ3" s="472"/>
      <c r="GR3" s="472"/>
      <c r="GS3" s="472"/>
      <c r="GT3" s="472"/>
      <c r="GU3" s="472"/>
      <c r="GV3" s="182"/>
      <c r="GW3" s="472"/>
      <c r="GX3" s="472"/>
      <c r="GY3" s="472"/>
      <c r="GZ3" s="472"/>
      <c r="HA3" s="472"/>
      <c r="HB3" s="182"/>
      <c r="HC3" s="472"/>
      <c r="HD3" s="472"/>
      <c r="HE3" s="472"/>
      <c r="HF3" s="472"/>
      <c r="HG3" s="472"/>
      <c r="HH3" s="182"/>
      <c r="HI3" s="472"/>
      <c r="HJ3" s="472"/>
      <c r="HK3" s="472"/>
      <c r="HL3" s="472"/>
      <c r="HM3" s="472"/>
      <c r="HN3" s="182"/>
      <c r="HO3" s="472"/>
      <c r="HP3" s="472"/>
      <c r="HQ3" s="472"/>
      <c r="HR3" s="472"/>
      <c r="HS3" s="472"/>
      <c r="HT3" s="182"/>
      <c r="HU3" s="472"/>
      <c r="HV3" s="472"/>
      <c r="HW3" s="472"/>
      <c r="HX3" s="472"/>
      <c r="HY3" s="472"/>
      <c r="HZ3" s="182"/>
      <c r="IA3" s="472"/>
      <c r="IB3" s="472"/>
      <c r="IC3" s="472"/>
      <c r="ID3" s="472"/>
      <c r="IE3" s="472"/>
      <c r="IF3" s="182"/>
      <c r="IG3" s="472"/>
      <c r="IH3" s="472"/>
      <c r="II3" s="472"/>
      <c r="IJ3" s="472"/>
      <c r="IK3" s="472"/>
      <c r="IL3" s="182"/>
      <c r="IM3" s="472"/>
      <c r="IN3" s="472"/>
      <c r="IO3" s="472"/>
      <c r="IP3" s="472"/>
      <c r="IQ3" s="472"/>
      <c r="IR3" s="182"/>
      <c r="IS3" s="472"/>
      <c r="IT3" s="472"/>
      <c r="IU3" s="472"/>
      <c r="IV3" s="472"/>
    </row>
    <row r="4" spans="1:6" s="2" customFormat="1" ht="15.75" thickBot="1">
      <c r="A4" s="473"/>
      <c r="B4" s="473"/>
      <c r="C4" s="473"/>
      <c r="D4" s="473"/>
      <c r="E4" s="473"/>
      <c r="F4" s="227"/>
    </row>
    <row r="5" spans="1:7" ht="50.25" customHeight="1" thickTop="1">
      <c r="A5" s="228" t="s">
        <v>29</v>
      </c>
      <c r="B5" s="237" t="s">
        <v>241</v>
      </c>
      <c r="C5" s="238" t="s">
        <v>242</v>
      </c>
      <c r="D5" s="229" t="s">
        <v>53</v>
      </c>
      <c r="E5" s="229" t="s">
        <v>25</v>
      </c>
      <c r="F5" s="229" t="s">
        <v>39</v>
      </c>
      <c r="G5" s="1"/>
    </row>
    <row r="6" spans="1:7" ht="12.75">
      <c r="A6" s="183"/>
      <c r="B6" s="31"/>
      <c r="C6" s="32"/>
      <c r="D6" s="32"/>
      <c r="E6" s="32"/>
      <c r="F6" s="33"/>
      <c r="G6" s="1"/>
    </row>
    <row r="7" spans="1:7" ht="14.25">
      <c r="A7" s="5" t="s">
        <v>19</v>
      </c>
      <c r="B7" s="5"/>
      <c r="C7" s="6" t="e">
        <f>+C8</f>
        <v>#REF!</v>
      </c>
      <c r="D7" s="6"/>
      <c r="E7" s="6" t="e">
        <f>+E8</f>
        <v>#REF!</v>
      </c>
      <c r="F7" s="7" t="e">
        <f>+E7/E62*100</f>
        <v>#REF!</v>
      </c>
      <c r="G7" s="1"/>
    </row>
    <row r="8" spans="1:7" ht="15">
      <c r="A8" s="8" t="s">
        <v>20</v>
      </c>
      <c r="B8" s="8"/>
      <c r="C8" s="9" t="e">
        <f>+HONTOTAL</f>
        <v>#REF!</v>
      </c>
      <c r="D8" s="9"/>
      <c r="E8" s="9" t="e">
        <f>+C8</f>
        <v>#REF!</v>
      </c>
      <c r="F8" s="10"/>
      <c r="G8" s="1"/>
    </row>
    <row r="9" spans="1:7" ht="15">
      <c r="A9" s="8"/>
      <c r="B9" s="8"/>
      <c r="C9" s="9"/>
      <c r="D9" s="11"/>
      <c r="E9" s="6"/>
      <c r="F9" s="12"/>
      <c r="G9" s="1"/>
    </row>
    <row r="10" spans="1:7" ht="15">
      <c r="A10" s="5" t="s">
        <v>21</v>
      </c>
      <c r="B10" s="5"/>
      <c r="C10" s="11"/>
      <c r="D10" s="11"/>
      <c r="E10" s="6" t="e">
        <f>SUM(E11:E24)</f>
        <v>#REF!</v>
      </c>
      <c r="F10" s="7" t="e">
        <f>+E10/E62*100</f>
        <v>#REF!</v>
      </c>
      <c r="G10" s="1"/>
    </row>
    <row r="11" spans="1:7" ht="15">
      <c r="A11" s="13" t="s">
        <v>41</v>
      </c>
      <c r="B11" s="8">
        <v>22930268</v>
      </c>
      <c r="C11" s="9" t="e">
        <f>+#REF!</f>
        <v>#REF!</v>
      </c>
      <c r="D11" s="14" t="e">
        <f>(C11-B11)/C11</f>
        <v>#REF!</v>
      </c>
      <c r="E11" s="9" t="e">
        <f>+SUM(C11:C11)</f>
        <v>#REF!</v>
      </c>
      <c r="F11" s="10" t="e">
        <f>(+E11/E62)*100</f>
        <v>#REF!</v>
      </c>
      <c r="G11" s="1"/>
    </row>
    <row r="12" spans="1:7" ht="15">
      <c r="A12" s="13" t="s">
        <v>42</v>
      </c>
      <c r="B12" s="8">
        <v>5600000</v>
      </c>
      <c r="C12" s="9" t="e">
        <f>+#REF!</f>
        <v>#REF!</v>
      </c>
      <c r="D12" s="14" t="e">
        <f aca="true" t="shared" si="0" ref="D12:D25">(C12-B12)/C12</f>
        <v>#REF!</v>
      </c>
      <c r="E12" s="9" t="e">
        <f>+SUM(C12:C12)</f>
        <v>#REF!</v>
      </c>
      <c r="F12" s="10" t="e">
        <f>+E12/E62*100</f>
        <v>#REF!</v>
      </c>
      <c r="G12" s="1"/>
    </row>
    <row r="13" spans="1:7" ht="15">
      <c r="A13" s="13" t="s">
        <v>43</v>
      </c>
      <c r="B13" s="8">
        <v>13482000</v>
      </c>
      <c r="C13" s="9" t="e">
        <f>+#REF!</f>
        <v>#REF!</v>
      </c>
      <c r="D13" s="300" t="e">
        <f t="shared" si="0"/>
        <v>#REF!</v>
      </c>
      <c r="E13" s="9" t="e">
        <f>+SUM(C13:C13)</f>
        <v>#REF!</v>
      </c>
      <c r="F13" s="10" t="e">
        <f>+E13/E62*100</f>
        <v>#REF!</v>
      </c>
      <c r="G13" s="1"/>
    </row>
    <row r="14" spans="1:7" ht="15">
      <c r="A14" s="13" t="s">
        <v>22</v>
      </c>
      <c r="B14" s="8">
        <v>14927652</v>
      </c>
      <c r="C14" s="9" t="e">
        <f>+#REF!</f>
        <v>#REF!</v>
      </c>
      <c r="D14" s="300" t="e">
        <f t="shared" si="0"/>
        <v>#REF!</v>
      </c>
      <c r="E14" s="9" t="e">
        <f>+#REF!</f>
        <v>#REF!</v>
      </c>
      <c r="F14" s="10" t="e">
        <f>+E14/E62*100</f>
        <v>#REF!</v>
      </c>
      <c r="G14" s="1"/>
    </row>
    <row r="15" spans="1:7" ht="15">
      <c r="A15" s="13" t="s">
        <v>44</v>
      </c>
      <c r="B15" s="8">
        <v>37500000</v>
      </c>
      <c r="C15" s="9" t="e">
        <f>+#REF!</f>
        <v>#REF!</v>
      </c>
      <c r="D15" s="300" t="e">
        <f t="shared" si="0"/>
        <v>#REF!</v>
      </c>
      <c r="E15" s="9" t="e">
        <f aca="true" t="shared" si="1" ref="E15:E24">+SUM(C15:C15)</f>
        <v>#REF!</v>
      </c>
      <c r="F15" s="10" t="e">
        <f>+E15/E62*100</f>
        <v>#REF!</v>
      </c>
      <c r="G15" s="1"/>
    </row>
    <row r="16" spans="1:7" ht="15">
      <c r="A16" s="13" t="s">
        <v>23</v>
      </c>
      <c r="B16" s="8">
        <v>24826333</v>
      </c>
      <c r="C16" s="9" t="e">
        <f>+#REF!</f>
        <v>#REF!</v>
      </c>
      <c r="D16" s="300" t="e">
        <f t="shared" si="0"/>
        <v>#REF!</v>
      </c>
      <c r="E16" s="9" t="e">
        <f t="shared" si="1"/>
        <v>#REF!</v>
      </c>
      <c r="F16" s="10" t="e">
        <f>+E16/E62*100</f>
        <v>#REF!</v>
      </c>
      <c r="G16" s="1"/>
    </row>
    <row r="17" spans="1:7" ht="15">
      <c r="A17" s="13" t="s">
        <v>45</v>
      </c>
      <c r="B17" s="8">
        <v>10566333</v>
      </c>
      <c r="C17" s="9" t="e">
        <f>+#REF!</f>
        <v>#REF!</v>
      </c>
      <c r="D17" s="300" t="e">
        <f t="shared" si="0"/>
        <v>#REF!</v>
      </c>
      <c r="E17" s="9" t="e">
        <f t="shared" si="1"/>
        <v>#REF!</v>
      </c>
      <c r="F17" s="10" t="e">
        <f>+E17/E62*100</f>
        <v>#REF!</v>
      </c>
      <c r="G17" s="1"/>
    </row>
    <row r="18" spans="1:7" ht="15">
      <c r="A18" s="13" t="s">
        <v>195</v>
      </c>
      <c r="B18" s="8">
        <v>19639000</v>
      </c>
      <c r="C18" s="9" t="e">
        <f>+#REF!</f>
        <v>#REF!</v>
      </c>
      <c r="D18" s="300" t="e">
        <f t="shared" si="0"/>
        <v>#REF!</v>
      </c>
      <c r="E18" s="9" t="e">
        <f t="shared" si="1"/>
        <v>#REF!</v>
      </c>
      <c r="F18" s="10" t="e">
        <f>+E18/E62*100</f>
        <v>#REF!</v>
      </c>
      <c r="G18" s="1"/>
    </row>
    <row r="19" spans="1:7" ht="15">
      <c r="A19" s="13" t="s">
        <v>24</v>
      </c>
      <c r="B19" s="8">
        <v>42000000</v>
      </c>
      <c r="C19" s="9" t="e">
        <f>+#REF!</f>
        <v>#REF!</v>
      </c>
      <c r="D19" s="300" t="e">
        <f t="shared" si="0"/>
        <v>#REF!</v>
      </c>
      <c r="E19" s="9" t="e">
        <f t="shared" si="1"/>
        <v>#REF!</v>
      </c>
      <c r="F19" s="10" t="e">
        <f>+E19/E62*100</f>
        <v>#REF!</v>
      </c>
      <c r="G19" s="1"/>
    </row>
    <row r="20" spans="1:7" ht="15">
      <c r="A20" s="13" t="s">
        <v>40</v>
      </c>
      <c r="B20" s="8">
        <v>2572500</v>
      </c>
      <c r="C20" s="9" t="e">
        <f>+#REF!</f>
        <v>#REF!</v>
      </c>
      <c r="D20" s="300" t="e">
        <f t="shared" si="0"/>
        <v>#REF!</v>
      </c>
      <c r="E20" s="9" t="e">
        <f t="shared" si="1"/>
        <v>#REF!</v>
      </c>
      <c r="F20" s="10" t="e">
        <f>+E20/E62*100</f>
        <v>#REF!</v>
      </c>
      <c r="G20" s="1"/>
    </row>
    <row r="21" spans="1:7" ht="15">
      <c r="A21" s="13" t="s">
        <v>46</v>
      </c>
      <c r="B21" s="8">
        <v>26582000</v>
      </c>
      <c r="C21" s="9" t="e">
        <f>+#REF!</f>
        <v>#REF!</v>
      </c>
      <c r="D21" s="300" t="e">
        <f t="shared" si="0"/>
        <v>#REF!</v>
      </c>
      <c r="E21" s="9" t="e">
        <f t="shared" si="1"/>
        <v>#REF!</v>
      </c>
      <c r="F21" s="10" t="e">
        <f>+E21/E62*100</f>
        <v>#REF!</v>
      </c>
      <c r="G21" s="1"/>
    </row>
    <row r="22" spans="1:7" ht="15">
      <c r="A22" s="13" t="s">
        <v>47</v>
      </c>
      <c r="B22" s="8">
        <v>6479251</v>
      </c>
      <c r="C22" s="9" t="e">
        <f>+#REF!</f>
        <v>#REF!</v>
      </c>
      <c r="D22" s="300" t="e">
        <f t="shared" si="0"/>
        <v>#REF!</v>
      </c>
      <c r="E22" s="9" t="e">
        <f t="shared" si="1"/>
        <v>#REF!</v>
      </c>
      <c r="F22" s="10" t="e">
        <f>+E22/E62*100</f>
        <v>#REF!</v>
      </c>
      <c r="G22" s="1"/>
    </row>
    <row r="23" spans="1:7" ht="15">
      <c r="A23" s="13" t="s">
        <v>48</v>
      </c>
      <c r="B23" s="8">
        <v>42800000</v>
      </c>
      <c r="C23" s="9" t="e">
        <f>+#REF!</f>
        <v>#REF!</v>
      </c>
      <c r="D23" s="300" t="e">
        <f t="shared" si="0"/>
        <v>#REF!</v>
      </c>
      <c r="E23" s="9" t="e">
        <f t="shared" si="1"/>
        <v>#REF!</v>
      </c>
      <c r="F23" s="10" t="e">
        <f>+E23/E62*100</f>
        <v>#REF!</v>
      </c>
      <c r="G23" s="1"/>
    </row>
    <row r="24" spans="1:7" ht="15">
      <c r="A24" s="13" t="s">
        <v>49</v>
      </c>
      <c r="B24" s="8">
        <v>11500000</v>
      </c>
      <c r="C24" s="9" t="e">
        <f>+#REF!</f>
        <v>#REF!</v>
      </c>
      <c r="D24" s="300" t="e">
        <f t="shared" si="0"/>
        <v>#REF!</v>
      </c>
      <c r="E24" s="9" t="e">
        <f t="shared" si="1"/>
        <v>#REF!</v>
      </c>
      <c r="F24" s="10" t="e">
        <f>+E24/E62*100</f>
        <v>#REF!</v>
      </c>
      <c r="G24" s="1"/>
    </row>
    <row r="25" spans="1:7" ht="14.25">
      <c r="A25" s="15" t="s">
        <v>28</v>
      </c>
      <c r="B25" s="16">
        <f>SUM(B11:B24)</f>
        <v>281405337</v>
      </c>
      <c r="C25" s="16" t="e">
        <f>SUM(C11:C24)</f>
        <v>#REF!</v>
      </c>
      <c r="D25" s="301" t="e">
        <f t="shared" si="0"/>
        <v>#REF!</v>
      </c>
      <c r="E25" s="16" t="e">
        <f>+E10+E7</f>
        <v>#REF!</v>
      </c>
      <c r="F25" s="17" t="e">
        <f>+F10+F7</f>
        <v>#REF!</v>
      </c>
      <c r="G25" s="1"/>
    </row>
    <row r="26" spans="1:7" ht="15">
      <c r="A26" s="11"/>
      <c r="B26" s="9"/>
      <c r="C26" s="11"/>
      <c r="D26" s="13"/>
      <c r="E26" s="11"/>
      <c r="F26" s="12"/>
      <c r="G26" s="1"/>
    </row>
    <row r="27" spans="1:7" ht="14.25">
      <c r="A27" s="15" t="s">
        <v>31</v>
      </c>
      <c r="B27" s="16"/>
      <c r="C27" s="15"/>
      <c r="D27" s="15"/>
      <c r="E27" s="16">
        <f>SUM(E29:E54)</f>
        <v>6362031836</v>
      </c>
      <c r="F27" s="17" t="e">
        <f>SUM(F29:F54)</f>
        <v>#REF!</v>
      </c>
      <c r="G27" s="1"/>
    </row>
    <row r="28" spans="1:7" ht="15">
      <c r="A28" s="11"/>
      <c r="B28" s="9"/>
      <c r="C28" s="11"/>
      <c r="D28" s="11"/>
      <c r="E28" s="9"/>
      <c r="F28" s="12"/>
      <c r="G28" s="1"/>
    </row>
    <row r="29" spans="1:7" ht="15">
      <c r="A29" s="26" t="s">
        <v>50</v>
      </c>
      <c r="B29" s="5"/>
      <c r="C29" s="18">
        <f>+'Inversión total en programas'!B29</f>
        <v>145800000</v>
      </c>
      <c r="D29" s="18"/>
      <c r="E29" s="6">
        <f>+C29</f>
        <v>145800000</v>
      </c>
      <c r="F29" s="10" t="e">
        <f>+E29/E62*100</f>
        <v>#REF!</v>
      </c>
      <c r="G29" s="1"/>
    </row>
    <row r="30" spans="1:7" ht="15">
      <c r="A30" s="25" t="s">
        <v>54</v>
      </c>
      <c r="B30" s="27"/>
      <c r="C30" s="18">
        <f>+'Inversión total en programas'!B36</f>
        <v>3826475436</v>
      </c>
      <c r="D30" s="18"/>
      <c r="E30" s="6">
        <f>+C30</f>
        <v>3826475436</v>
      </c>
      <c r="F30" s="10" t="e">
        <f>+E30/E62*100</f>
        <v>#REF!</v>
      </c>
      <c r="G30" s="1"/>
    </row>
    <row r="31" spans="1:7" ht="15">
      <c r="A31" s="26" t="s">
        <v>32</v>
      </c>
      <c r="B31" s="5"/>
      <c r="C31" s="11"/>
      <c r="D31" s="11"/>
      <c r="E31" s="6">
        <f>SUM(C32:C35)</f>
        <v>412000000</v>
      </c>
      <c r="F31" s="19" t="e">
        <f>+E31/E62*100</f>
        <v>#REF!</v>
      </c>
      <c r="G31" s="1"/>
    </row>
    <row r="32" spans="1:7" ht="13.5" customHeight="1">
      <c r="A32" s="28" t="s">
        <v>73</v>
      </c>
      <c r="B32" s="8"/>
      <c r="C32" s="18">
        <f>+'Inversión total en programas'!B47</f>
        <v>50000000</v>
      </c>
      <c r="D32" s="18"/>
      <c r="E32" s="6"/>
      <c r="F32" s="12"/>
      <c r="G32" s="1"/>
    </row>
    <row r="33" spans="1:7" ht="15">
      <c r="A33" s="28" t="s">
        <v>192</v>
      </c>
      <c r="B33" s="8"/>
      <c r="C33" s="18">
        <f>+'Inversión total en programas'!B48</f>
        <v>86000000</v>
      </c>
      <c r="D33" s="18"/>
      <c r="E33" s="6"/>
      <c r="F33" s="12"/>
      <c r="G33" s="1"/>
    </row>
    <row r="34" spans="1:7" ht="15">
      <c r="A34" s="28" t="s">
        <v>191</v>
      </c>
      <c r="B34" s="8"/>
      <c r="C34" s="18">
        <f>+'Inversión total en programas'!B49</f>
        <v>236000000</v>
      </c>
      <c r="D34" s="18"/>
      <c r="E34" s="6"/>
      <c r="F34" s="12"/>
      <c r="G34" s="1"/>
    </row>
    <row r="35" spans="1:7" ht="15">
      <c r="A35" s="29" t="s">
        <v>75</v>
      </c>
      <c r="B35" s="30"/>
      <c r="C35" s="18">
        <v>40000000</v>
      </c>
      <c r="D35" s="18"/>
      <c r="E35" s="6"/>
      <c r="F35" s="12"/>
      <c r="G35" s="1"/>
    </row>
    <row r="36" spans="1:7" ht="15">
      <c r="A36" s="25" t="s">
        <v>243</v>
      </c>
      <c r="B36" s="27"/>
      <c r="C36" s="18"/>
      <c r="D36" s="18"/>
      <c r="E36" s="6">
        <f>SUM(C37:C40)</f>
        <v>769208400</v>
      </c>
      <c r="F36" s="10" t="e">
        <f>+E36/E62*100</f>
        <v>#REF!</v>
      </c>
      <c r="G36" s="1"/>
    </row>
    <row r="37" spans="1:7" ht="15">
      <c r="A37" s="29" t="s">
        <v>34</v>
      </c>
      <c r="B37" s="30"/>
      <c r="C37" s="18">
        <f>+'Inversión total en programas'!B56</f>
        <v>170000000</v>
      </c>
      <c r="D37" s="18"/>
      <c r="E37" s="9"/>
      <c r="F37" s="12"/>
      <c r="G37" s="1"/>
    </row>
    <row r="38" spans="1:7" ht="15">
      <c r="A38" s="29" t="s">
        <v>168</v>
      </c>
      <c r="B38" s="30"/>
      <c r="C38" s="18">
        <f>+'Inversión total en programas'!B57</f>
        <v>260000000</v>
      </c>
      <c r="D38" s="18"/>
      <c r="E38" s="9"/>
      <c r="F38" s="12"/>
      <c r="G38" s="1"/>
    </row>
    <row r="39" spans="1:7" ht="15">
      <c r="A39" s="29" t="s">
        <v>246</v>
      </c>
      <c r="B39" s="30"/>
      <c r="C39" s="18">
        <f>+'Inversión total en programas'!B58</f>
        <v>289208400</v>
      </c>
      <c r="D39" s="18"/>
      <c r="E39" s="9"/>
      <c r="F39" s="12"/>
      <c r="G39" s="1"/>
    </row>
    <row r="40" spans="1:7" ht="15">
      <c r="A40" s="29" t="s">
        <v>175</v>
      </c>
      <c r="B40" s="30"/>
      <c r="C40" s="18">
        <f>+'Inversión total en programas'!B59</f>
        <v>50000000</v>
      </c>
      <c r="D40" s="18"/>
      <c r="E40" s="9"/>
      <c r="F40" s="12"/>
      <c r="G40" s="1"/>
    </row>
    <row r="41" spans="1:7" ht="15">
      <c r="A41" s="25" t="s">
        <v>26</v>
      </c>
      <c r="B41" s="27"/>
      <c r="C41" s="18">
        <f>+'Inversión total en programas'!B66</f>
        <v>340000000</v>
      </c>
      <c r="D41" s="18"/>
      <c r="E41" s="6">
        <f>+C41</f>
        <v>340000000</v>
      </c>
      <c r="F41" s="10" t="e">
        <f>+E41/E62*100</f>
        <v>#REF!</v>
      </c>
      <c r="G41" s="1"/>
    </row>
    <row r="42" spans="1:7" ht="15">
      <c r="A42" s="25" t="s">
        <v>178</v>
      </c>
      <c r="B42" s="27"/>
      <c r="C42" s="18"/>
      <c r="D42" s="18"/>
      <c r="E42" s="6">
        <f>SUM(C43:C46)</f>
        <v>343548000</v>
      </c>
      <c r="F42" s="10" t="e">
        <f>+E42/E62*100</f>
        <v>#REF!</v>
      </c>
      <c r="G42" s="1"/>
    </row>
    <row r="43" spans="1:7" ht="15">
      <c r="A43" s="29" t="s">
        <v>181</v>
      </c>
      <c r="B43" s="30"/>
      <c r="C43" s="18">
        <v>129000000</v>
      </c>
      <c r="D43" s="18"/>
      <c r="E43" s="9"/>
      <c r="F43" s="12"/>
      <c r="G43" s="1"/>
    </row>
    <row r="44" spans="1:7" ht="15">
      <c r="A44" s="29" t="s">
        <v>193</v>
      </c>
      <c r="B44" s="30"/>
      <c r="C44" s="18">
        <f>+'Inversión total en programas'!B75</f>
        <v>74148000</v>
      </c>
      <c r="D44" s="18"/>
      <c r="E44" s="9"/>
      <c r="F44" s="12"/>
      <c r="G44" s="1"/>
    </row>
    <row r="45" spans="1:7" ht="15">
      <c r="A45" s="29" t="s">
        <v>57</v>
      </c>
      <c r="B45" s="30"/>
      <c r="C45" s="18">
        <f>+'Inversión total en programas'!B76</f>
        <v>130400000</v>
      </c>
      <c r="D45" s="18"/>
      <c r="E45" s="9"/>
      <c r="F45" s="12"/>
      <c r="G45" s="1"/>
    </row>
    <row r="46" spans="1:7" ht="15">
      <c r="A46" s="29" t="s">
        <v>179</v>
      </c>
      <c r="B46" s="30"/>
      <c r="C46" s="18">
        <f>+'Inversión total en programas'!B77</f>
        <v>10000000</v>
      </c>
      <c r="D46" s="18"/>
      <c r="E46" s="9"/>
      <c r="F46" s="12"/>
      <c r="G46" s="1"/>
    </row>
    <row r="47" spans="1:7" ht="15">
      <c r="A47" s="25" t="s">
        <v>27</v>
      </c>
      <c r="B47" s="27"/>
      <c r="C47" s="18"/>
      <c r="D47" s="18"/>
      <c r="E47" s="6">
        <f>SUM(C48:C52)</f>
        <v>452000000</v>
      </c>
      <c r="F47" s="10" t="e">
        <f>+E47/E62*100</f>
        <v>#REF!</v>
      </c>
      <c r="G47" s="1"/>
    </row>
    <row r="48" spans="1:7" ht="15">
      <c r="A48" s="29" t="s">
        <v>183</v>
      </c>
      <c r="B48" s="30"/>
      <c r="C48" s="18">
        <f>+'Inversión total en programas'!B83</f>
        <v>220000000</v>
      </c>
      <c r="D48" s="18"/>
      <c r="E48" s="9"/>
      <c r="F48" s="12"/>
      <c r="G48" s="1"/>
    </row>
    <row r="49" spans="1:7" ht="15">
      <c r="A49" s="29" t="s">
        <v>59</v>
      </c>
      <c r="B49" s="30"/>
      <c r="C49" s="18">
        <f>+'Inversión total en programas'!B84</f>
        <v>55000000</v>
      </c>
      <c r="D49" s="18"/>
      <c r="E49" s="9"/>
      <c r="F49" s="12"/>
      <c r="G49" s="1"/>
    </row>
    <row r="50" spans="1:7" ht="15">
      <c r="A50" s="29" t="s">
        <v>60</v>
      </c>
      <c r="B50" s="30"/>
      <c r="C50" s="18">
        <f>+'Inversión total en programas'!B85</f>
        <v>30000000</v>
      </c>
      <c r="D50" s="18"/>
      <c r="E50" s="9"/>
      <c r="F50" s="12"/>
      <c r="G50" s="1"/>
    </row>
    <row r="51" spans="1:7" ht="15">
      <c r="A51" s="29" t="s">
        <v>184</v>
      </c>
      <c r="B51" s="30"/>
      <c r="C51" s="18">
        <f>+'Inversión total en programas'!B86</f>
        <v>117000000</v>
      </c>
      <c r="D51" s="18"/>
      <c r="E51" s="9"/>
      <c r="F51" s="12"/>
      <c r="G51" s="1"/>
    </row>
    <row r="52" spans="1:7" ht="15">
      <c r="A52" s="372" t="s">
        <v>189</v>
      </c>
      <c r="C52" s="36">
        <f>+'Inversión total en programas'!B87</f>
        <v>30000000</v>
      </c>
      <c r="D52" s="18"/>
      <c r="E52" s="9"/>
      <c r="F52" s="12"/>
      <c r="G52" s="1"/>
    </row>
    <row r="53" spans="1:7" ht="15">
      <c r="A53" s="25"/>
      <c r="B53" s="27"/>
      <c r="C53" s="18"/>
      <c r="D53" s="18"/>
      <c r="E53" s="6">
        <f>+C53</f>
        <v>0</v>
      </c>
      <c r="F53" s="10" t="e">
        <f>+E53/E62*100</f>
        <v>#REF!</v>
      </c>
      <c r="G53" s="1"/>
    </row>
    <row r="54" spans="1:7" ht="15">
      <c r="A54" s="25" t="s">
        <v>188</v>
      </c>
      <c r="B54" s="27"/>
      <c r="C54" s="18">
        <f>+'Inversión total en programas'!B95</f>
        <v>73000000</v>
      </c>
      <c r="D54" s="18"/>
      <c r="E54" s="6">
        <f>+C54</f>
        <v>73000000</v>
      </c>
      <c r="F54" s="10" t="e">
        <f>+E54/E62*100</f>
        <v>#REF!</v>
      </c>
      <c r="G54" s="1"/>
    </row>
    <row r="55" spans="1:7" ht="15">
      <c r="A55" s="25"/>
      <c r="B55" s="27"/>
      <c r="C55" s="18"/>
      <c r="D55" s="18"/>
      <c r="E55" s="6"/>
      <c r="F55" s="10"/>
      <c r="G55" s="1"/>
    </row>
    <row r="56" spans="1:7" ht="15">
      <c r="A56" s="25" t="s">
        <v>171</v>
      </c>
      <c r="B56" s="27"/>
      <c r="C56" s="18" t="e">
        <f>+'Inversión total en programas'!B99</f>
        <v>#REF!</v>
      </c>
      <c r="D56" s="18"/>
      <c r="E56" s="6">
        <v>445280000</v>
      </c>
      <c r="F56" s="10" t="e">
        <f>+E56/E62*100</f>
        <v>#REF!</v>
      </c>
      <c r="G56" s="1"/>
    </row>
    <row r="57" spans="1:7" ht="15">
      <c r="A57" s="25"/>
      <c r="B57" s="27"/>
      <c r="C57" s="18"/>
      <c r="D57" s="18"/>
      <c r="E57" s="6"/>
      <c r="F57" s="7"/>
      <c r="G57" s="1"/>
    </row>
    <row r="58" spans="1:7" ht="15">
      <c r="A58" s="231" t="s">
        <v>239</v>
      </c>
      <c r="B58" s="27"/>
      <c r="C58" s="18"/>
      <c r="D58" s="18"/>
      <c r="E58" s="6" t="e">
        <f>+#REF!</f>
        <v>#REF!</v>
      </c>
      <c r="F58" s="7"/>
      <c r="G58" s="1"/>
    </row>
    <row r="59" spans="1:7" ht="15">
      <c r="A59" s="225" t="s">
        <v>226</v>
      </c>
      <c r="B59" s="27"/>
      <c r="C59" s="18" t="e">
        <f>+#REF!</f>
        <v>#REF!</v>
      </c>
      <c r="D59" s="18"/>
      <c r="E59" s="6"/>
      <c r="F59" s="7"/>
      <c r="G59" s="1"/>
    </row>
    <row r="60" spans="1:7" ht="15">
      <c r="A60" s="226" t="s">
        <v>217</v>
      </c>
      <c r="B60" s="27"/>
      <c r="C60" s="18" t="e">
        <f>+#REF!</f>
        <v>#REF!</v>
      </c>
      <c r="D60" s="18"/>
      <c r="E60" s="6"/>
      <c r="F60" s="7"/>
      <c r="G60" s="1"/>
    </row>
    <row r="61" spans="1:7" ht="15">
      <c r="A61" s="11"/>
      <c r="B61" s="9"/>
      <c r="C61" s="11"/>
      <c r="D61" s="11"/>
      <c r="E61" s="11"/>
      <c r="F61" s="12"/>
      <c r="G61" s="1"/>
    </row>
    <row r="62" spans="1:7" ht="15">
      <c r="A62" s="15" t="s">
        <v>38</v>
      </c>
      <c r="B62" s="16"/>
      <c r="C62" s="16"/>
      <c r="D62" s="16"/>
      <c r="E62" s="16" t="e">
        <f>+E56+E27+E25+E58</f>
        <v>#REF!</v>
      </c>
      <c r="F62" s="10" t="e">
        <f>+F56+F27+F25</f>
        <v>#REF!</v>
      </c>
      <c r="G62" s="1"/>
    </row>
    <row r="63" spans="1:7" ht="15.75" thickBot="1">
      <c r="A63" s="20"/>
      <c r="B63" s="21"/>
      <c r="C63" s="22"/>
      <c r="D63" s="23"/>
      <c r="E63" s="23"/>
      <c r="F63" s="24"/>
      <c r="G63" s="1"/>
    </row>
    <row r="64" spans="1:7" ht="13.5" thickTop="1">
      <c r="A64" s="1"/>
      <c r="B64" s="3"/>
      <c r="C64" s="1"/>
      <c r="D64" s="1"/>
      <c r="E64" s="1"/>
      <c r="F64" s="1"/>
      <c r="G64" s="1"/>
    </row>
    <row r="65" spans="1:7" ht="12.75">
      <c r="A65" s="1"/>
      <c r="B65" s="3"/>
      <c r="C65" s="1"/>
      <c r="D65" s="1"/>
      <c r="E65" s="230" t="e">
        <f>+E62-'Inversión total en programas'!C105</f>
        <v>#REF!</v>
      </c>
      <c r="F65" s="1"/>
      <c r="G65" s="1"/>
    </row>
    <row r="66" spans="1:7" ht="12.75">
      <c r="A66" s="1"/>
      <c r="B66" s="3"/>
      <c r="C66" s="1"/>
      <c r="D66" s="1"/>
      <c r="E66" s="1"/>
      <c r="F66" s="1"/>
      <c r="G66" s="1"/>
    </row>
    <row r="67" spans="1:7" ht="12.75">
      <c r="A67" s="1"/>
      <c r="B67" s="3"/>
      <c r="C67" s="1"/>
      <c r="D67" s="1"/>
      <c r="E67" s="1"/>
      <c r="F67" s="1"/>
      <c r="G67" s="1"/>
    </row>
    <row r="68" spans="1:7" ht="12.75">
      <c r="A68" s="1"/>
      <c r="B68" s="3"/>
      <c r="C68" s="1"/>
      <c r="D68" s="1"/>
      <c r="E68" s="1"/>
      <c r="F68" s="1"/>
      <c r="G68" s="1"/>
    </row>
    <row r="69" spans="1:7" ht="12.75">
      <c r="A69" s="1"/>
      <c r="B69" s="3"/>
      <c r="C69" s="1"/>
      <c r="D69" s="1"/>
      <c r="E69" s="1"/>
      <c r="F69" s="1"/>
      <c r="G69" s="1"/>
    </row>
    <row r="70" spans="1:7" ht="12.75">
      <c r="A70" s="1"/>
      <c r="B70" s="3"/>
      <c r="C70" s="1"/>
      <c r="D70" s="1"/>
      <c r="E70" s="1"/>
      <c r="F70" s="1"/>
      <c r="G70" s="1"/>
    </row>
    <row r="71" spans="1:7" ht="12.75">
      <c r="A71" s="1"/>
      <c r="B71" s="3"/>
      <c r="C71" s="1"/>
      <c r="D71" s="1"/>
      <c r="E71" s="1"/>
      <c r="F71" s="1"/>
      <c r="G71" s="1"/>
    </row>
    <row r="72" spans="1:7" ht="12.75">
      <c r="A72" s="1"/>
      <c r="B72" s="3"/>
      <c r="C72" s="1"/>
      <c r="D72" s="1"/>
      <c r="E72" s="1"/>
      <c r="F72" s="1"/>
      <c r="G72" s="1"/>
    </row>
    <row r="73" spans="1:7" ht="12.75">
      <c r="A73" s="1"/>
      <c r="B73" s="3"/>
      <c r="C73" s="1"/>
      <c r="D73" s="1"/>
      <c r="E73" s="1"/>
      <c r="F73" s="1"/>
      <c r="G73" s="1"/>
    </row>
    <row r="74" spans="1:7" ht="12.75">
      <c r="A74" s="1"/>
      <c r="B74" s="3"/>
      <c r="C74" s="1"/>
      <c r="D74" s="1"/>
      <c r="E74" s="1"/>
      <c r="F74" s="1"/>
      <c r="G74" s="1"/>
    </row>
    <row r="75" spans="1:7" ht="12.75">
      <c r="A75" s="1"/>
      <c r="B75" s="3"/>
      <c r="C75" s="1"/>
      <c r="D75" s="1"/>
      <c r="E75" s="1"/>
      <c r="F75" s="1"/>
      <c r="G75" s="1"/>
    </row>
    <row r="76" spans="1:7" ht="12.75">
      <c r="A76" s="1"/>
      <c r="B76" s="3"/>
      <c r="C76" s="1"/>
      <c r="D76" s="1"/>
      <c r="E76" s="1"/>
      <c r="F76" s="1"/>
      <c r="G76" s="1"/>
    </row>
    <row r="77" spans="1:7" ht="12.75">
      <c r="A77" s="1"/>
      <c r="B77" s="3"/>
      <c r="C77" s="1"/>
      <c r="D77" s="1"/>
      <c r="E77" s="1"/>
      <c r="F77" s="1"/>
      <c r="G77" s="1"/>
    </row>
    <row r="78" spans="1:7" ht="12.75">
      <c r="A78" s="1"/>
      <c r="B78" s="3"/>
      <c r="C78" s="1"/>
      <c r="D78" s="1"/>
      <c r="E78" s="1"/>
      <c r="F78" s="1"/>
      <c r="G78" s="1"/>
    </row>
    <row r="79" spans="1:7" ht="12.75">
      <c r="A79" s="1"/>
      <c r="B79" s="3"/>
      <c r="C79" s="1"/>
      <c r="D79" s="1"/>
      <c r="E79" s="1"/>
      <c r="F79" s="1"/>
      <c r="G79" s="1"/>
    </row>
    <row r="80" spans="1:7" ht="12.75">
      <c r="A80" s="1"/>
      <c r="B80" s="3"/>
      <c r="C80" s="1"/>
      <c r="D80" s="1"/>
      <c r="E80" s="1"/>
      <c r="F80" s="1"/>
      <c r="G80" s="1"/>
    </row>
    <row r="81" spans="1:7" ht="12.75">
      <c r="A81" s="1"/>
      <c r="B81" s="3"/>
      <c r="C81" s="1"/>
      <c r="D81" s="1"/>
      <c r="E81" s="1"/>
      <c r="F81" s="1"/>
      <c r="G81" s="1"/>
    </row>
    <row r="82" spans="1:7" ht="12.75">
      <c r="A82" s="1"/>
      <c r="B82" s="3"/>
      <c r="C82" s="1"/>
      <c r="D82" s="1"/>
      <c r="E82" s="1"/>
      <c r="F82" s="1"/>
      <c r="G82" s="1"/>
    </row>
    <row r="83" spans="1:7" ht="12.75">
      <c r="A83" s="1"/>
      <c r="B83" s="3"/>
      <c r="C83" s="1"/>
      <c r="D83" s="1"/>
      <c r="E83" s="1"/>
      <c r="F83" s="1"/>
      <c r="G83" s="1"/>
    </row>
    <row r="84" spans="1:7" ht="12.75">
      <c r="A84" s="1"/>
      <c r="B84" s="3"/>
      <c r="C84" s="1"/>
      <c r="D84" s="1"/>
      <c r="E84" s="1"/>
      <c r="F84" s="1"/>
      <c r="G84" s="1"/>
    </row>
    <row r="85" spans="1:7" ht="12.75">
      <c r="A85" s="1"/>
      <c r="B85" s="3"/>
      <c r="C85" s="1"/>
      <c r="D85" s="1"/>
      <c r="E85" s="1"/>
      <c r="F85" s="1"/>
      <c r="G85" s="1"/>
    </row>
    <row r="86" spans="1:7" ht="12.75">
      <c r="A86" s="1"/>
      <c r="B86" s="3"/>
      <c r="C86" s="1"/>
      <c r="D86" s="1"/>
      <c r="E86" s="1"/>
      <c r="F86" s="1"/>
      <c r="G86" s="1"/>
    </row>
    <row r="87" spans="1:7" ht="12.75">
      <c r="A87" s="1"/>
      <c r="B87" s="3"/>
      <c r="C87" s="1"/>
      <c r="D87" s="1"/>
      <c r="E87" s="1"/>
      <c r="F87" s="1"/>
      <c r="G87" s="1"/>
    </row>
    <row r="88" spans="1:7" ht="12.75">
      <c r="A88" s="1"/>
      <c r="B88" s="3"/>
      <c r="C88" s="1"/>
      <c r="D88" s="1"/>
      <c r="E88" s="1"/>
      <c r="F88" s="1"/>
      <c r="G88" s="1"/>
    </row>
    <row r="89" spans="1:7" ht="12.75">
      <c r="A89" s="1"/>
      <c r="B89" s="3"/>
      <c r="C89" s="1"/>
      <c r="D89" s="1"/>
      <c r="E89" s="1"/>
      <c r="F89" s="1"/>
      <c r="G89" s="1"/>
    </row>
    <row r="90" spans="1:7" ht="12.75">
      <c r="A90" s="1"/>
      <c r="B90" s="3"/>
      <c r="C90" s="1"/>
      <c r="D90" s="1"/>
      <c r="E90" s="1"/>
      <c r="F90" s="1"/>
      <c r="G90" s="1"/>
    </row>
    <row r="91" spans="1:7" ht="12.75">
      <c r="A91" s="1"/>
      <c r="B91" s="3"/>
      <c r="C91" s="1"/>
      <c r="D91" s="1"/>
      <c r="E91" s="1"/>
      <c r="F91" s="1"/>
      <c r="G91" s="1"/>
    </row>
    <row r="92" spans="1:7" ht="12.75">
      <c r="A92" s="1"/>
      <c r="B92" s="3"/>
      <c r="C92" s="1"/>
      <c r="D92" s="1"/>
      <c r="E92" s="1"/>
      <c r="F92" s="1"/>
      <c r="G92" s="1"/>
    </row>
    <row r="93" spans="1:7" ht="12.75">
      <c r="A93" s="1"/>
      <c r="B93" s="3"/>
      <c r="C93" s="1"/>
      <c r="D93" s="1"/>
      <c r="E93" s="1"/>
      <c r="F93" s="1"/>
      <c r="G93" s="1"/>
    </row>
    <row r="94" spans="1:7" ht="12.75">
      <c r="A94" s="1"/>
      <c r="B94" s="3"/>
      <c r="C94" s="1"/>
      <c r="D94" s="1"/>
      <c r="E94" s="1"/>
      <c r="F94" s="1"/>
      <c r="G94" s="1"/>
    </row>
    <row r="95" spans="1:7" ht="12.75">
      <c r="A95" s="1"/>
      <c r="B95" s="3"/>
      <c r="C95" s="1"/>
      <c r="D95" s="1"/>
      <c r="E95" s="1"/>
      <c r="F95" s="1"/>
      <c r="G95" s="1"/>
    </row>
    <row r="96" spans="1:7" ht="12.75">
      <c r="A96" s="1"/>
      <c r="B96" s="3"/>
      <c r="C96" s="1"/>
      <c r="D96" s="1"/>
      <c r="E96" s="1"/>
      <c r="F96" s="1"/>
      <c r="G96" s="1"/>
    </row>
    <row r="97" spans="1:7" ht="12.75">
      <c r="A97" s="1"/>
      <c r="B97" s="3"/>
      <c r="C97" s="1"/>
      <c r="D97" s="1"/>
      <c r="E97" s="1"/>
      <c r="F97" s="1"/>
      <c r="G97" s="1"/>
    </row>
    <row r="98" spans="1:7" ht="12.75">
      <c r="A98" s="1"/>
      <c r="B98" s="3"/>
      <c r="C98" s="1"/>
      <c r="D98" s="1"/>
      <c r="E98" s="1"/>
      <c r="F98" s="1"/>
      <c r="G98" s="1"/>
    </row>
    <row r="99" spans="1:7" ht="12.75">
      <c r="A99" s="1"/>
      <c r="B99" s="3"/>
      <c r="C99" s="1"/>
      <c r="D99" s="1"/>
      <c r="E99" s="1"/>
      <c r="F99" s="1"/>
      <c r="G99" s="1"/>
    </row>
    <row r="100" spans="1:7" ht="12.75">
      <c r="A100" s="1"/>
      <c r="B100" s="3"/>
      <c r="C100" s="1"/>
      <c r="D100" s="1"/>
      <c r="E100" s="1"/>
      <c r="F100" s="1"/>
      <c r="G100" s="1"/>
    </row>
    <row r="101" spans="1:7" ht="12.75">
      <c r="A101" s="1"/>
      <c r="B101" s="3"/>
      <c r="C101" s="1"/>
      <c r="D101" s="1"/>
      <c r="E101" s="1"/>
      <c r="F101" s="1"/>
      <c r="G101" s="1"/>
    </row>
    <row r="102" spans="1:7" ht="12.75">
      <c r="A102" s="1"/>
      <c r="B102" s="3"/>
      <c r="C102" s="1"/>
      <c r="D102" s="1"/>
      <c r="E102" s="1"/>
      <c r="F102" s="1"/>
      <c r="G102" s="1"/>
    </row>
    <row r="103" spans="1:7" ht="12.75">
      <c r="A103" s="1"/>
      <c r="B103" s="3"/>
      <c r="C103" s="1"/>
      <c r="D103" s="1"/>
      <c r="E103" s="1"/>
      <c r="F103" s="1"/>
      <c r="G103" s="1"/>
    </row>
    <row r="104" spans="1:7" ht="12.75">
      <c r="A104" s="1"/>
      <c r="B104" s="3"/>
      <c r="C104" s="1"/>
      <c r="D104" s="1"/>
      <c r="E104" s="1"/>
      <c r="F104" s="1"/>
      <c r="G104" s="1"/>
    </row>
    <row r="105" spans="1:7" ht="12.75">
      <c r="A105" s="1"/>
      <c r="B105" s="3"/>
      <c r="C105" s="1"/>
      <c r="D105" s="1"/>
      <c r="E105" s="1"/>
      <c r="F105" s="1"/>
      <c r="G105" s="1"/>
    </row>
    <row r="106" spans="1:7" ht="12.75">
      <c r="A106" s="1"/>
      <c r="B106" s="3"/>
      <c r="C106" s="1"/>
      <c r="D106" s="1"/>
      <c r="E106" s="1"/>
      <c r="F106" s="1"/>
      <c r="G106" s="1"/>
    </row>
    <row r="107" spans="1:7" ht="12.75">
      <c r="A107" s="1"/>
      <c r="B107" s="3"/>
      <c r="C107" s="1"/>
      <c r="D107" s="1"/>
      <c r="E107" s="1"/>
      <c r="F107" s="1"/>
      <c r="G107" s="1"/>
    </row>
    <row r="108" spans="1:7" ht="12.75">
      <c r="A108" s="1"/>
      <c r="B108" s="3"/>
      <c r="C108" s="1"/>
      <c r="D108" s="1"/>
      <c r="E108" s="1"/>
      <c r="F108" s="1"/>
      <c r="G108" s="1"/>
    </row>
    <row r="109" spans="1:7" ht="12.75">
      <c r="A109" s="1"/>
      <c r="B109" s="3"/>
      <c r="C109" s="1"/>
      <c r="D109" s="1"/>
      <c r="E109" s="1"/>
      <c r="F109" s="1"/>
      <c r="G109" s="1"/>
    </row>
    <row r="110" spans="1:7" ht="12.75">
      <c r="A110" s="1"/>
      <c r="B110" s="3"/>
      <c r="C110" s="1"/>
      <c r="D110" s="1"/>
      <c r="E110" s="1"/>
      <c r="F110" s="1"/>
      <c r="G110" s="1"/>
    </row>
    <row r="111" spans="1:7" ht="12.75">
      <c r="A111" s="1"/>
      <c r="B111" s="3"/>
      <c r="C111" s="1"/>
      <c r="D111" s="1"/>
      <c r="E111" s="1"/>
      <c r="F111" s="1"/>
      <c r="G111" s="1"/>
    </row>
    <row r="112" spans="1:7" ht="12.75">
      <c r="A112" s="1"/>
      <c r="B112" s="3"/>
      <c r="C112" s="1"/>
      <c r="D112" s="1"/>
      <c r="E112" s="1"/>
      <c r="F112" s="1"/>
      <c r="G112" s="1"/>
    </row>
    <row r="113" spans="1:7" ht="12.75">
      <c r="A113" s="1"/>
      <c r="B113" s="3"/>
      <c r="C113" s="1"/>
      <c r="D113" s="1"/>
      <c r="E113" s="1"/>
      <c r="F113" s="1"/>
      <c r="G113" s="1"/>
    </row>
    <row r="114" spans="1:7" ht="12.75">
      <c r="A114" s="1"/>
      <c r="B114" s="3"/>
      <c r="C114" s="1"/>
      <c r="D114" s="1"/>
      <c r="E114" s="1"/>
      <c r="F114" s="1"/>
      <c r="G114" s="1"/>
    </row>
    <row r="115" spans="1:7" ht="12.75">
      <c r="A115" s="1"/>
      <c r="B115" s="3"/>
      <c r="C115" s="1"/>
      <c r="D115" s="1"/>
      <c r="E115" s="1"/>
      <c r="F115" s="1"/>
      <c r="G115" s="1"/>
    </row>
    <row r="116" spans="1:7" ht="12.75">
      <c r="A116" s="1"/>
      <c r="B116" s="3"/>
      <c r="C116" s="1"/>
      <c r="D116" s="1"/>
      <c r="E116" s="1"/>
      <c r="F116" s="1"/>
      <c r="G116" s="1"/>
    </row>
    <row r="117" spans="1:7" ht="12.75">
      <c r="A117" s="1"/>
      <c r="B117" s="3"/>
      <c r="C117" s="1"/>
      <c r="D117" s="1"/>
      <c r="E117" s="1"/>
      <c r="F117" s="1"/>
      <c r="G117" s="1"/>
    </row>
    <row r="118" spans="1:7" ht="12.75">
      <c r="A118" s="1"/>
      <c r="B118" s="3"/>
      <c r="C118" s="1"/>
      <c r="D118" s="1"/>
      <c r="E118" s="1"/>
      <c r="F118" s="1"/>
      <c r="G118" s="1"/>
    </row>
    <row r="119" spans="1:7" ht="12.75">
      <c r="A119" s="1"/>
      <c r="B119" s="3"/>
      <c r="C119" s="1"/>
      <c r="D119" s="1"/>
      <c r="E119" s="1"/>
      <c r="F119" s="1"/>
      <c r="G119" s="1"/>
    </row>
    <row r="120" spans="1:7" ht="12.75">
      <c r="A120" s="1"/>
      <c r="B120" s="3"/>
      <c r="C120" s="1"/>
      <c r="D120" s="1"/>
      <c r="E120" s="1"/>
      <c r="F120" s="1"/>
      <c r="G120" s="1"/>
    </row>
    <row r="121" spans="1:7" ht="12.75">
      <c r="A121" s="1"/>
      <c r="B121" s="3"/>
      <c r="C121" s="1"/>
      <c r="D121" s="1"/>
      <c r="E121" s="1"/>
      <c r="F121" s="1"/>
      <c r="G121" s="1"/>
    </row>
    <row r="122" spans="1:7" ht="12.75">
      <c r="A122" s="1"/>
      <c r="B122" s="3"/>
      <c r="C122" s="1"/>
      <c r="D122" s="1"/>
      <c r="E122" s="1"/>
      <c r="F122" s="1"/>
      <c r="G122" s="1"/>
    </row>
    <row r="123" spans="1:7" ht="12.75">
      <c r="A123" s="1"/>
      <c r="B123" s="3"/>
      <c r="C123" s="1"/>
      <c r="D123" s="1"/>
      <c r="E123" s="1"/>
      <c r="F123" s="1"/>
      <c r="G123" s="1"/>
    </row>
    <row r="124" spans="1:7" ht="12.75">
      <c r="A124" s="1"/>
      <c r="B124" s="3"/>
      <c r="C124" s="1"/>
      <c r="D124" s="1"/>
      <c r="E124" s="1"/>
      <c r="F124" s="1"/>
      <c r="G124" s="1"/>
    </row>
    <row r="125" spans="1:7" ht="12.75">
      <c r="A125" s="1"/>
      <c r="B125" s="3"/>
      <c r="C125" s="1"/>
      <c r="D125" s="1"/>
      <c r="E125" s="1"/>
      <c r="F125" s="1"/>
      <c r="G125" s="1"/>
    </row>
    <row r="126" spans="1:7" ht="12.75">
      <c r="A126" s="1"/>
      <c r="B126" s="3"/>
      <c r="C126" s="1"/>
      <c r="D126" s="1"/>
      <c r="E126" s="1"/>
      <c r="F126" s="1"/>
      <c r="G126" s="1"/>
    </row>
    <row r="127" spans="1:7" ht="12.75">
      <c r="A127" s="1"/>
      <c r="B127" s="3"/>
      <c r="C127" s="1"/>
      <c r="D127" s="1"/>
      <c r="E127" s="1"/>
      <c r="F127" s="1"/>
      <c r="G127" s="1"/>
    </row>
    <row r="128" spans="1:7" ht="12.75">
      <c r="A128" s="1"/>
      <c r="B128" s="3"/>
      <c r="C128" s="1"/>
      <c r="D128" s="1"/>
      <c r="E128" s="1"/>
      <c r="F128" s="1"/>
      <c r="G128" s="1"/>
    </row>
    <row r="129" spans="1:7" ht="12.75">
      <c r="A129" s="1"/>
      <c r="B129" s="3"/>
      <c r="C129" s="1"/>
      <c r="D129" s="1"/>
      <c r="E129" s="1"/>
      <c r="F129" s="1"/>
      <c r="G129" s="1"/>
    </row>
    <row r="130" spans="1:7" ht="12.75">
      <c r="A130" s="1"/>
      <c r="B130" s="3"/>
      <c r="C130" s="1"/>
      <c r="D130" s="1"/>
      <c r="E130" s="1"/>
      <c r="F130" s="1"/>
      <c r="G130" s="1"/>
    </row>
    <row r="131" spans="1:7" ht="12.75">
      <c r="A131" s="1"/>
      <c r="B131" s="3"/>
      <c r="C131" s="1"/>
      <c r="D131" s="1"/>
      <c r="E131" s="1"/>
      <c r="F131" s="1"/>
      <c r="G131" s="1"/>
    </row>
    <row r="132" spans="1:7" ht="12.75">
      <c r="A132" s="1"/>
      <c r="B132" s="3"/>
      <c r="C132" s="1"/>
      <c r="D132" s="1"/>
      <c r="E132" s="1"/>
      <c r="F132" s="1"/>
      <c r="G132" s="1"/>
    </row>
    <row r="133" spans="1:7" ht="12.75">
      <c r="A133" s="1"/>
      <c r="B133" s="3"/>
      <c r="C133" s="1"/>
      <c r="D133" s="1"/>
      <c r="E133" s="1"/>
      <c r="F133" s="1"/>
      <c r="G133" s="1"/>
    </row>
    <row r="134" spans="1:7" ht="12.75">
      <c r="A134" s="1"/>
      <c r="B134" s="3"/>
      <c r="C134" s="1"/>
      <c r="D134" s="1"/>
      <c r="E134" s="1"/>
      <c r="F134" s="1"/>
      <c r="G134" s="1"/>
    </row>
    <row r="135" spans="1:7" ht="12.75">
      <c r="A135" s="1"/>
      <c r="B135" s="3"/>
      <c r="C135" s="1"/>
      <c r="D135" s="1"/>
      <c r="E135" s="1"/>
      <c r="F135" s="1"/>
      <c r="G135" s="1"/>
    </row>
    <row r="136" spans="1:7" ht="12.75">
      <c r="A136" s="1"/>
      <c r="B136" s="3"/>
      <c r="C136" s="1"/>
      <c r="D136" s="1"/>
      <c r="E136" s="1"/>
      <c r="F136" s="1"/>
      <c r="G136" s="1"/>
    </row>
    <row r="137" spans="1:7" ht="12.75">
      <c r="A137" s="1"/>
      <c r="B137" s="3"/>
      <c r="C137" s="1"/>
      <c r="D137" s="1"/>
      <c r="E137" s="1"/>
      <c r="F137" s="1"/>
      <c r="G137" s="1"/>
    </row>
    <row r="138" spans="1:7" ht="12.75">
      <c r="A138" s="1"/>
      <c r="B138" s="3"/>
      <c r="C138" s="1"/>
      <c r="D138" s="1"/>
      <c r="E138" s="1"/>
      <c r="F138" s="1"/>
      <c r="G138" s="1"/>
    </row>
    <row r="139" spans="1:7" ht="12.75">
      <c r="A139" s="1"/>
      <c r="B139" s="3"/>
      <c r="C139" s="1"/>
      <c r="D139" s="1"/>
      <c r="E139" s="1"/>
      <c r="F139" s="1"/>
      <c r="G139" s="1"/>
    </row>
    <row r="140" spans="1:7" ht="12.75">
      <c r="A140" s="1"/>
      <c r="B140" s="3"/>
      <c r="C140" s="1"/>
      <c r="D140" s="1"/>
      <c r="E140" s="1"/>
      <c r="F140" s="1"/>
      <c r="G140" s="1"/>
    </row>
    <row r="141" spans="1:7" ht="12.75">
      <c r="A141" s="1"/>
      <c r="B141" s="3"/>
      <c r="C141" s="1"/>
      <c r="D141" s="1"/>
      <c r="E141" s="1"/>
      <c r="F141" s="1"/>
      <c r="G141" s="1"/>
    </row>
  </sheetData>
  <sheetProtection/>
  <mergeCells count="46">
    <mergeCell ref="A1:E1"/>
    <mergeCell ref="A2:E2"/>
    <mergeCell ref="AQ3:AU3"/>
    <mergeCell ref="AW3:BA3"/>
    <mergeCell ref="S3:W3"/>
    <mergeCell ref="Y3:AC3"/>
    <mergeCell ref="AE3:AI3"/>
    <mergeCell ref="AK3:AO3"/>
    <mergeCell ref="BO3:BS3"/>
    <mergeCell ref="BU3:BY3"/>
    <mergeCell ref="BC3:BG3"/>
    <mergeCell ref="BI3:BM3"/>
    <mergeCell ref="A4:E4"/>
    <mergeCell ref="A3:E3"/>
    <mergeCell ref="G3:K3"/>
    <mergeCell ref="M3:Q3"/>
    <mergeCell ref="CA3:CE3"/>
    <mergeCell ref="CG3:CK3"/>
    <mergeCell ref="EI3:EM3"/>
    <mergeCell ref="EO3:ES3"/>
    <mergeCell ref="CY3:DC3"/>
    <mergeCell ref="DE3:DI3"/>
    <mergeCell ref="DW3:EA3"/>
    <mergeCell ref="EC3:EG3"/>
    <mergeCell ref="CM3:CQ3"/>
    <mergeCell ref="CS3:CW3"/>
    <mergeCell ref="GQ3:GU3"/>
    <mergeCell ref="GW3:HA3"/>
    <mergeCell ref="GE3:GI3"/>
    <mergeCell ref="GK3:GO3"/>
    <mergeCell ref="IM3:IQ3"/>
    <mergeCell ref="IS3:IV3"/>
    <mergeCell ref="HO3:HS3"/>
    <mergeCell ref="HU3:HY3"/>
    <mergeCell ref="IA3:IE3"/>
    <mergeCell ref="IG3:IK3"/>
    <mergeCell ref="DK3:DO3"/>
    <mergeCell ref="DQ3:DU3"/>
    <mergeCell ref="FG3:FK3"/>
    <mergeCell ref="FM3:FQ3"/>
    <mergeCell ref="HC3:HG3"/>
    <mergeCell ref="HI3:HM3"/>
    <mergeCell ref="EU3:EY3"/>
    <mergeCell ref="FA3:FE3"/>
    <mergeCell ref="FS3:FW3"/>
    <mergeCell ref="FY3:GC3"/>
  </mergeCells>
  <conditionalFormatting sqref="IV3 J3 P3 V3 AB3 AH3 AN3 AT3 AZ3 BF3 BL3 BR3 BX3 CD3 CJ3 CP3 CV3 DB3 DH3 DN3 DT3 DZ3 EF3 EL3 ER3 EX3 FD3 FJ3 FP3 FV3 GB3 GH3 GN3 GT3 GZ3 HF3 HL3 HR3 HX3 ID3 IJ3 IP3 D1:D47 D49:D65536">
    <cfRule type="cellIs" priority="1" dxfId="0" operator="greaterThan" stopIfTrue="1">
      <formula>0.06</formula>
    </cfRule>
  </conditionalFormatting>
  <printOptions horizontalCentered="1"/>
  <pageMargins left="0.3937007874015748" right="0.3937007874015748" top="0.3937007874015748" bottom="0.3937007874015748" header="0" footer="0"/>
  <pageSetup horizontalDpi="300" verticalDpi="300" orientation="portrait" scale="70" r:id="rId1"/>
</worksheet>
</file>

<file path=xl/worksheets/sheet3.xml><?xml version="1.0" encoding="utf-8"?>
<worksheet xmlns="http://schemas.openxmlformats.org/spreadsheetml/2006/main" xmlns:r="http://schemas.openxmlformats.org/officeDocument/2006/relationships">
  <dimension ref="B1:J478"/>
  <sheetViews>
    <sheetView zoomScalePageLayoutView="0" workbookViewId="0" topLeftCell="A1">
      <selection activeCell="A1" sqref="A1"/>
    </sheetView>
  </sheetViews>
  <sheetFormatPr defaultColWidth="11.421875" defaultRowHeight="12.75" outlineLevelRow="1"/>
  <cols>
    <col min="1" max="1" width="11.421875" style="307" customWidth="1"/>
    <col min="2" max="2" width="41.57421875" style="352" customWidth="1"/>
    <col min="3" max="3" width="14.00390625" style="352" customWidth="1"/>
    <col min="4" max="4" width="15.421875" style="352" customWidth="1"/>
    <col min="5" max="5" width="16.28125" style="352" customWidth="1"/>
    <col min="6" max="6" width="10.7109375" style="352" hidden="1" customWidth="1"/>
    <col min="7" max="7" width="15.00390625" style="305" customWidth="1"/>
    <col min="8" max="10" width="11.421875" style="306" customWidth="1"/>
    <col min="11" max="16384" width="11.421875" style="307" customWidth="1"/>
  </cols>
  <sheetData>
    <row r="1" spans="2:6" ht="12.75">
      <c r="B1" s="239" t="s">
        <v>55</v>
      </c>
      <c r="C1" s="240"/>
      <c r="D1" s="240"/>
      <c r="E1" s="240"/>
      <c r="F1" s="241"/>
    </row>
    <row r="2" spans="2:6" ht="12.75">
      <c r="B2" s="239" t="s">
        <v>248</v>
      </c>
      <c r="C2" s="240"/>
      <c r="D2" s="240"/>
      <c r="E2" s="240"/>
      <c r="F2" s="241"/>
    </row>
    <row r="3" spans="2:6" ht="12.75">
      <c r="B3" s="239" t="s">
        <v>249</v>
      </c>
      <c r="C3" s="240"/>
      <c r="D3" s="240"/>
      <c r="E3" s="240"/>
      <c r="F3" s="241"/>
    </row>
    <row r="4" spans="2:10" s="247" customFormat="1" ht="17.25" customHeight="1" thickBot="1">
      <c r="B4" s="242"/>
      <c r="C4" s="243"/>
      <c r="D4" s="243"/>
      <c r="E4" s="243"/>
      <c r="F4" s="244"/>
      <c r="G4" s="245"/>
      <c r="H4" s="246"/>
      <c r="I4" s="246"/>
      <c r="J4" s="246"/>
    </row>
    <row r="5" spans="2:7" ht="13.5" thickBot="1">
      <c r="B5" s="308"/>
      <c r="C5" s="302" t="s">
        <v>223</v>
      </c>
      <c r="D5" s="303"/>
      <c r="E5" s="304"/>
      <c r="F5" s="248"/>
      <c r="G5" s="357">
        <v>2004</v>
      </c>
    </row>
    <row r="6" spans="2:7" ht="12.75">
      <c r="B6" s="249" t="s">
        <v>29</v>
      </c>
      <c r="C6" s="250" t="s">
        <v>207</v>
      </c>
      <c r="D6" s="250" t="s">
        <v>208</v>
      </c>
      <c r="E6" s="250" t="s">
        <v>56</v>
      </c>
      <c r="F6" s="251" t="s">
        <v>172</v>
      </c>
      <c r="G6" s="355" t="s">
        <v>166</v>
      </c>
    </row>
    <row r="7" spans="2:7" ht="12.75">
      <c r="B7" s="249"/>
      <c r="C7" s="252" t="s">
        <v>201</v>
      </c>
      <c r="D7" s="252" t="s">
        <v>209</v>
      </c>
      <c r="E7" s="252" t="s">
        <v>223</v>
      </c>
      <c r="F7" s="253" t="s">
        <v>202</v>
      </c>
      <c r="G7" s="358" t="s">
        <v>165</v>
      </c>
    </row>
    <row r="8" spans="2:7" ht="13.5" thickBot="1">
      <c r="B8" s="254"/>
      <c r="C8" s="255"/>
      <c r="D8" s="255"/>
      <c r="E8" s="255"/>
      <c r="F8" s="254"/>
      <c r="G8" s="356"/>
    </row>
    <row r="9" spans="2:7" ht="12.75">
      <c r="B9" s="309" t="s">
        <v>19</v>
      </c>
      <c r="C9" s="310" t="e">
        <f>SUM(C10:C10)</f>
        <v>#REF!</v>
      </c>
      <c r="D9" s="310"/>
      <c r="E9" s="310" t="e">
        <f>SUM(E10:E10)</f>
        <v>#REF!</v>
      </c>
      <c r="F9" s="311" t="e">
        <f>+E9/E113</f>
        <v>#REF!</v>
      </c>
      <c r="G9" s="359"/>
    </row>
    <row r="10" spans="2:7" ht="12.75">
      <c r="B10" s="313" t="s">
        <v>62</v>
      </c>
      <c r="C10" s="314" t="e">
        <f>+'Inversión total en programas'!B7</f>
        <v>#REF!</v>
      </c>
      <c r="D10" s="314"/>
      <c r="E10" s="314" t="e">
        <f>SUM(C10:D10)</f>
        <v>#REF!</v>
      </c>
      <c r="F10" s="315" t="e">
        <f>+E10/E113</f>
        <v>#REF!</v>
      </c>
      <c r="G10" s="360"/>
    </row>
    <row r="11" spans="2:7" ht="12.75">
      <c r="B11" s="313"/>
      <c r="C11" s="314"/>
      <c r="D11" s="314"/>
      <c r="E11" s="314"/>
      <c r="F11" s="316"/>
      <c r="G11" s="354"/>
    </row>
    <row r="12" spans="2:7" ht="12.75">
      <c r="B12" s="317" t="s">
        <v>21</v>
      </c>
      <c r="C12" s="318">
        <f>SUM(C13:C26)</f>
        <v>304667803.38</v>
      </c>
      <c r="D12" s="318"/>
      <c r="E12" s="318">
        <f aca="true" t="shared" si="0" ref="E12:E26">SUM(C12:D12)</f>
        <v>304667803.38</v>
      </c>
      <c r="F12" s="319" t="e">
        <f>+E12/E113</f>
        <v>#REF!</v>
      </c>
      <c r="G12" s="354"/>
    </row>
    <row r="13" spans="2:7" ht="12.75">
      <c r="B13" s="313" t="s">
        <v>41</v>
      </c>
      <c r="C13" s="314">
        <f>+'Inversión total en programas'!B10</f>
        <v>21500000</v>
      </c>
      <c r="D13" s="314"/>
      <c r="E13" s="314">
        <f t="shared" si="0"/>
        <v>21500000</v>
      </c>
      <c r="F13" s="315" t="e">
        <f>+E13/E113</f>
        <v>#REF!</v>
      </c>
      <c r="G13" s="354"/>
    </row>
    <row r="14" spans="2:7" ht="12.75">
      <c r="B14" s="313" t="s">
        <v>42</v>
      </c>
      <c r="C14" s="314">
        <f>+'Inversión total en programas'!B11</f>
        <v>5924000</v>
      </c>
      <c r="D14" s="314"/>
      <c r="E14" s="314">
        <f t="shared" si="0"/>
        <v>5924000</v>
      </c>
      <c r="F14" s="315" t="e">
        <f>+E14/E113</f>
        <v>#REF!</v>
      </c>
      <c r="G14" s="354"/>
    </row>
    <row r="15" spans="2:7" ht="12.75">
      <c r="B15" s="313" t="s">
        <v>43</v>
      </c>
      <c r="C15" s="314">
        <f>+'Inversión total en programas'!B12</f>
        <v>15000000</v>
      </c>
      <c r="D15" s="314"/>
      <c r="E15" s="314">
        <f t="shared" si="0"/>
        <v>15000000</v>
      </c>
      <c r="F15" s="315" t="e">
        <f>+E15/E113</f>
        <v>#REF!</v>
      </c>
      <c r="G15" s="354"/>
    </row>
    <row r="16" spans="2:7" ht="12.75">
      <c r="B16" s="313" t="s">
        <v>22</v>
      </c>
      <c r="C16" s="314">
        <f>+'Inversión total en programas'!B13</f>
        <v>16571515</v>
      </c>
      <c r="D16" s="314"/>
      <c r="E16" s="314">
        <f t="shared" si="0"/>
        <v>16571515</v>
      </c>
      <c r="F16" s="315" t="e">
        <f>+E16/E113</f>
        <v>#REF!</v>
      </c>
      <c r="G16" s="354"/>
    </row>
    <row r="17" spans="2:7" ht="12.75">
      <c r="B17" s="313" t="s">
        <v>44</v>
      </c>
      <c r="C17" s="314">
        <f>+'Inversión total en programas'!B14</f>
        <v>33250000</v>
      </c>
      <c r="D17" s="314"/>
      <c r="E17" s="314">
        <f t="shared" si="0"/>
        <v>33250000</v>
      </c>
      <c r="F17" s="315" t="e">
        <f>+E17/E113</f>
        <v>#REF!</v>
      </c>
      <c r="G17" s="354"/>
    </row>
    <row r="18" spans="2:7" ht="12.75">
      <c r="B18" s="313" t="s">
        <v>23</v>
      </c>
      <c r="C18" s="314">
        <f>+'Inversión total en programas'!B15</f>
        <v>30729600</v>
      </c>
      <c r="D18" s="314"/>
      <c r="E18" s="314">
        <f t="shared" si="0"/>
        <v>30729600</v>
      </c>
      <c r="F18" s="315" t="e">
        <f>+E18/E113</f>
        <v>#REF!</v>
      </c>
      <c r="G18" s="354"/>
    </row>
    <row r="19" spans="2:7" ht="12.75">
      <c r="B19" s="313" t="s">
        <v>210</v>
      </c>
      <c r="C19" s="314">
        <f>+'Inversión total en programas'!B16</f>
        <v>8900000</v>
      </c>
      <c r="D19" s="314"/>
      <c r="E19" s="314">
        <f t="shared" si="0"/>
        <v>8900000</v>
      </c>
      <c r="F19" s="315" t="e">
        <f>+E19/E113</f>
        <v>#REF!</v>
      </c>
      <c r="G19" s="354"/>
    </row>
    <row r="20" spans="2:7" ht="12.75">
      <c r="B20" s="313" t="s">
        <v>195</v>
      </c>
      <c r="C20" s="314">
        <f>+'Inversión total en programas'!B17</f>
        <v>20000000</v>
      </c>
      <c r="D20" s="314"/>
      <c r="E20" s="314">
        <f t="shared" si="0"/>
        <v>20000000</v>
      </c>
      <c r="F20" s="315" t="e">
        <f>+E20/E113</f>
        <v>#REF!</v>
      </c>
      <c r="G20" s="360"/>
    </row>
    <row r="21" spans="2:7" ht="12.75">
      <c r="B21" s="313" t="s">
        <v>24</v>
      </c>
      <c r="C21" s="314">
        <f>+'Inversión total en programas'!B18</f>
        <v>42250000</v>
      </c>
      <c r="D21" s="314"/>
      <c r="E21" s="314">
        <f t="shared" si="0"/>
        <v>42250000</v>
      </c>
      <c r="F21" s="315" t="e">
        <f>+E21/E113</f>
        <v>#REF!</v>
      </c>
      <c r="G21" s="360"/>
    </row>
    <row r="22" spans="2:7" ht="12.75">
      <c r="B22" s="313" t="s">
        <v>40</v>
      </c>
      <c r="C22" s="314">
        <f>+'Inversión total en programas'!B19</f>
        <v>3032800</v>
      </c>
      <c r="D22" s="314"/>
      <c r="E22" s="314">
        <f t="shared" si="0"/>
        <v>3032800</v>
      </c>
      <c r="F22" s="315" t="e">
        <f>+E22/E113</f>
        <v>#REF!</v>
      </c>
      <c r="G22" s="360"/>
    </row>
    <row r="23" spans="2:7" ht="12.75">
      <c r="B23" s="313" t="s">
        <v>46</v>
      </c>
      <c r="C23" s="314">
        <f>+'Inversión total en programas'!B20</f>
        <v>26833000</v>
      </c>
      <c r="D23" s="314"/>
      <c r="E23" s="314">
        <f t="shared" si="0"/>
        <v>26833000</v>
      </c>
      <c r="F23" s="315" t="e">
        <f>+E23/E113</f>
        <v>#REF!</v>
      </c>
      <c r="G23" s="360"/>
    </row>
    <row r="24" spans="2:7" ht="12.75">
      <c r="B24" s="313" t="s">
        <v>47</v>
      </c>
      <c r="C24" s="314">
        <f>+'Inversión total en programas'!B21</f>
        <v>8900000</v>
      </c>
      <c r="D24" s="314"/>
      <c r="E24" s="314">
        <f t="shared" si="0"/>
        <v>8900000</v>
      </c>
      <c r="F24" s="315" t="e">
        <f>+E24/E113</f>
        <v>#REF!</v>
      </c>
      <c r="G24" s="360"/>
    </row>
    <row r="25" spans="2:7" ht="12.75">
      <c r="B25" s="313" t="s">
        <v>48</v>
      </c>
      <c r="C25" s="314">
        <f>+'Inversión total en programas'!B22</f>
        <v>60000000</v>
      </c>
      <c r="D25" s="314"/>
      <c r="E25" s="314">
        <f t="shared" si="0"/>
        <v>60000000</v>
      </c>
      <c r="F25" s="315" t="e">
        <f>+E25/E113</f>
        <v>#REF!</v>
      </c>
      <c r="G25" s="360"/>
    </row>
    <row r="26" spans="2:7" ht="12.75">
      <c r="B26" s="313" t="s">
        <v>211</v>
      </c>
      <c r="C26" s="314">
        <f>+'Inversión total en programas'!B23</f>
        <v>11776888.38</v>
      </c>
      <c r="D26" s="314"/>
      <c r="E26" s="314">
        <f t="shared" si="0"/>
        <v>11776888.38</v>
      </c>
      <c r="F26" s="315" t="e">
        <f>+E26/E113</f>
        <v>#REF!</v>
      </c>
      <c r="G26" s="360"/>
    </row>
    <row r="27" spans="2:7" ht="12.75">
      <c r="B27" s="313"/>
      <c r="C27" s="314"/>
      <c r="D27" s="314"/>
      <c r="E27" s="314"/>
      <c r="F27" s="316"/>
      <c r="G27" s="360"/>
    </row>
    <row r="28" spans="2:7" ht="12.75">
      <c r="B28" s="317" t="s">
        <v>31</v>
      </c>
      <c r="C28" s="318"/>
      <c r="D28" s="318" t="e">
        <f>+D30+D37+D47+D56+D67+D74+D83+D96</f>
        <v>#REF!</v>
      </c>
      <c r="E28" s="318" t="e">
        <f>SUM(C28:D28)</f>
        <v>#REF!</v>
      </c>
      <c r="F28" s="319" t="e">
        <f>+E28/E113</f>
        <v>#REF!</v>
      </c>
      <c r="G28" s="360"/>
    </row>
    <row r="29" spans="2:7" ht="12.75">
      <c r="B29" s="313"/>
      <c r="C29" s="314"/>
      <c r="D29" s="314"/>
      <c r="E29" s="314"/>
      <c r="F29" s="316"/>
      <c r="G29" s="360"/>
    </row>
    <row r="30" spans="2:7" ht="12.75">
      <c r="B30" s="317" t="s">
        <v>50</v>
      </c>
      <c r="C30" s="318"/>
      <c r="D30" s="318" t="e">
        <f>+D31+D35</f>
        <v>#REF!</v>
      </c>
      <c r="E30" s="318" t="e">
        <f>+D31+D35</f>
        <v>#REF!</v>
      </c>
      <c r="F30" s="319" t="e">
        <f>+E30/E113</f>
        <v>#REF!</v>
      </c>
      <c r="G30" s="361" t="e">
        <f>+G31+G35</f>
        <v>#REF!</v>
      </c>
    </row>
    <row r="31" spans="2:7" ht="12.75">
      <c r="B31" s="317" t="s">
        <v>63</v>
      </c>
      <c r="C31" s="318"/>
      <c r="D31" s="314">
        <f>+'Inversión total en programas'!B29</f>
        <v>145800000</v>
      </c>
      <c r="E31" s="318"/>
      <c r="F31" s="315" t="e">
        <f>+D31/E113</f>
        <v>#REF!</v>
      </c>
      <c r="G31" s="360">
        <v>132079041</v>
      </c>
    </row>
    <row r="32" spans="2:7" ht="12.75">
      <c r="B32" s="313" t="s">
        <v>64</v>
      </c>
      <c r="C32" s="318"/>
      <c r="D32" s="314" t="e">
        <f>+'Inversión total en programas'!B30</f>
        <v>#REF!</v>
      </c>
      <c r="E32" s="318"/>
      <c r="F32" s="315" t="e">
        <f>+D32/E113</f>
        <v>#REF!</v>
      </c>
      <c r="G32" s="360" t="e">
        <f>+#REF!</f>
        <v>#REF!</v>
      </c>
    </row>
    <row r="33" spans="2:7" ht="12.75">
      <c r="B33" s="313" t="s">
        <v>65</v>
      </c>
      <c r="C33" s="318"/>
      <c r="D33" s="314" t="e">
        <f>+'Inversión total en programas'!B31</f>
        <v>#REF!</v>
      </c>
      <c r="E33" s="318"/>
      <c r="F33" s="315" t="e">
        <f>+D33/E113</f>
        <v>#REF!</v>
      </c>
      <c r="G33" s="360" t="e">
        <f>+#REF!</f>
        <v>#REF!</v>
      </c>
    </row>
    <row r="34" spans="2:7" ht="12.75">
      <c r="B34" s="313" t="s">
        <v>212</v>
      </c>
      <c r="C34" s="318"/>
      <c r="D34" s="314" t="e">
        <f>+'Inversión total en programas'!B32</f>
        <v>#REF!</v>
      </c>
      <c r="E34" s="318"/>
      <c r="F34" s="315" t="e">
        <f>+D34/E113</f>
        <v>#REF!</v>
      </c>
      <c r="G34" s="360" t="e">
        <f>+#REF!</f>
        <v>#REF!</v>
      </c>
    </row>
    <row r="35" spans="2:7" ht="12.75">
      <c r="B35" s="317" t="s">
        <v>67</v>
      </c>
      <c r="C35" s="318"/>
      <c r="D35" s="314" t="e">
        <f>+'Inversión total en programas'!B33</f>
        <v>#REF!</v>
      </c>
      <c r="E35" s="318"/>
      <c r="F35" s="315" t="e">
        <f>+D35/E113</f>
        <v>#REF!</v>
      </c>
      <c r="G35" s="360" t="e">
        <f>SUM(G32:G34)</f>
        <v>#REF!</v>
      </c>
    </row>
    <row r="36" spans="2:7" ht="12.75">
      <c r="B36" s="317"/>
      <c r="C36" s="318"/>
      <c r="D36" s="314"/>
      <c r="E36" s="318"/>
      <c r="F36" s="319"/>
      <c r="G36" s="360"/>
    </row>
    <row r="37" spans="2:7" ht="12.75">
      <c r="B37" s="317" t="s">
        <v>54</v>
      </c>
      <c r="C37" s="318"/>
      <c r="D37" s="318" t="e">
        <f>+D38+D45</f>
        <v>#REF!</v>
      </c>
      <c r="E37" s="318" t="e">
        <f>+D38+D45</f>
        <v>#REF!</v>
      </c>
      <c r="F37" s="319" t="e">
        <f>+E37/E113</f>
        <v>#REF!</v>
      </c>
      <c r="G37" s="361" t="e">
        <f>+G38+G45</f>
        <v>#REF!</v>
      </c>
    </row>
    <row r="38" spans="2:7" ht="12.75">
      <c r="B38" s="320" t="s">
        <v>63</v>
      </c>
      <c r="C38" s="321"/>
      <c r="D38" s="314">
        <f>+'Inversión total en programas'!B36</f>
        <v>3826475436</v>
      </c>
      <c r="E38" s="318"/>
      <c r="F38" s="315" t="e">
        <f>+D38/E113</f>
        <v>#REF!</v>
      </c>
      <c r="G38" s="360">
        <v>3249918761</v>
      </c>
    </row>
    <row r="39" spans="2:7" ht="12.75">
      <c r="B39" s="322" t="s">
        <v>68</v>
      </c>
      <c r="C39" s="321"/>
      <c r="D39" s="314" t="e">
        <f>+'Inversión total en programas'!B37</f>
        <v>#REF!</v>
      </c>
      <c r="E39" s="318"/>
      <c r="F39" s="315" t="e">
        <f>+D39/E113</f>
        <v>#REF!</v>
      </c>
      <c r="G39" s="360" t="e">
        <f>+#REF!</f>
        <v>#REF!</v>
      </c>
    </row>
    <row r="40" spans="2:7" ht="12.75">
      <c r="B40" s="322" t="s">
        <v>64</v>
      </c>
      <c r="C40" s="321"/>
      <c r="D40" s="314" t="e">
        <f>+'Inversión total en programas'!B38</f>
        <v>#REF!</v>
      </c>
      <c r="E40" s="318"/>
      <c r="F40" s="315" t="e">
        <f>+D40/E113</f>
        <v>#REF!</v>
      </c>
      <c r="G40" s="360"/>
    </row>
    <row r="41" spans="2:7" ht="12.75">
      <c r="B41" s="322" t="s">
        <v>69</v>
      </c>
      <c r="C41" s="321"/>
      <c r="D41" s="314" t="e">
        <f>+'Inversión total en programas'!B39</f>
        <v>#REF!</v>
      </c>
      <c r="E41" s="318"/>
      <c r="F41" s="315" t="e">
        <f>+D41/E113</f>
        <v>#REF!</v>
      </c>
      <c r="G41" s="360" t="e">
        <f>+#REF!/2</f>
        <v>#REF!</v>
      </c>
    </row>
    <row r="42" spans="2:7" ht="12.75">
      <c r="B42" s="322" t="s">
        <v>70</v>
      </c>
      <c r="C42" s="321"/>
      <c r="D42" s="314" t="e">
        <f>+'Inversión total en programas'!B40</f>
        <v>#REF!</v>
      </c>
      <c r="E42" s="318"/>
      <c r="F42" s="315" t="e">
        <f>+D42/E113</f>
        <v>#REF!</v>
      </c>
      <c r="G42" s="360">
        <v>13976544</v>
      </c>
    </row>
    <row r="43" spans="2:7" ht="12.75">
      <c r="B43" s="322" t="s">
        <v>213</v>
      </c>
      <c r="C43" s="321"/>
      <c r="D43" s="314" t="e">
        <f>+'Inversión total en programas'!B41</f>
        <v>#REF!</v>
      </c>
      <c r="E43" s="318"/>
      <c r="F43" s="315" t="e">
        <f>+D43/E113</f>
        <v>#REF!</v>
      </c>
      <c r="G43" s="360" t="e">
        <f>+#REF!</f>
        <v>#REF!</v>
      </c>
    </row>
    <row r="44" spans="2:7" ht="12.75">
      <c r="B44" s="322" t="s">
        <v>72</v>
      </c>
      <c r="C44" s="321"/>
      <c r="D44" s="314" t="e">
        <f>+'Inversión total en programas'!B42</f>
        <v>#REF!</v>
      </c>
      <c r="E44" s="318"/>
      <c r="F44" s="315" t="e">
        <f>+D44/E113</f>
        <v>#REF!</v>
      </c>
      <c r="G44" s="360" t="e">
        <f>+#REF!</f>
        <v>#REF!</v>
      </c>
    </row>
    <row r="45" spans="2:7" ht="12.75">
      <c r="B45" s="320" t="s">
        <v>67</v>
      </c>
      <c r="C45" s="321"/>
      <c r="D45" s="314" t="e">
        <f>+'Inversión total en programas'!B43</f>
        <v>#REF!</v>
      </c>
      <c r="E45" s="318"/>
      <c r="F45" s="315" t="e">
        <f>+D45/E113</f>
        <v>#REF!</v>
      </c>
      <c r="G45" s="360" t="e">
        <f>SUM(G39:G44)</f>
        <v>#REF!</v>
      </c>
    </row>
    <row r="46" spans="2:7" ht="12.75">
      <c r="B46" s="320"/>
      <c r="C46" s="321"/>
      <c r="D46" s="314"/>
      <c r="E46" s="318"/>
      <c r="F46" s="319"/>
      <c r="G46" s="360"/>
    </row>
    <row r="47" spans="2:7" ht="12.75">
      <c r="B47" s="320" t="s">
        <v>32</v>
      </c>
      <c r="C47" s="321"/>
      <c r="D47" s="318" t="e">
        <f>+D48+D54</f>
        <v>#REF!</v>
      </c>
      <c r="E47" s="318" t="e">
        <f>+D48+D54</f>
        <v>#REF!</v>
      </c>
      <c r="F47" s="319" t="e">
        <f>+E47/E113</f>
        <v>#REF!</v>
      </c>
      <c r="G47" s="360"/>
    </row>
    <row r="48" spans="2:7" ht="12.75">
      <c r="B48" s="320" t="s">
        <v>63</v>
      </c>
      <c r="C48" s="321"/>
      <c r="D48" s="314">
        <f>+'Inversión total en programas'!B46</f>
        <v>372000000</v>
      </c>
      <c r="E48" s="318"/>
      <c r="F48" s="315" t="e">
        <f>+D48/E113</f>
        <v>#REF!</v>
      </c>
      <c r="G48" s="360"/>
    </row>
    <row r="49" spans="2:7" ht="12.75">
      <c r="B49" s="322" t="s">
        <v>73</v>
      </c>
      <c r="C49" s="321"/>
      <c r="D49" s="314">
        <f>+'Inversión total en programas'!B47</f>
        <v>50000000</v>
      </c>
      <c r="E49" s="318"/>
      <c r="F49" s="315" t="e">
        <f>+D49/E113</f>
        <v>#REF!</v>
      </c>
      <c r="G49" s="360"/>
    </row>
    <row r="50" spans="2:7" ht="12.75">
      <c r="B50" s="322" t="s">
        <v>74</v>
      </c>
      <c r="C50" s="321"/>
      <c r="D50" s="314">
        <f>+'Inversión total en programas'!B48</f>
        <v>86000000</v>
      </c>
      <c r="E50" s="318"/>
      <c r="F50" s="315" t="e">
        <f>+D50/E113</f>
        <v>#REF!</v>
      </c>
      <c r="G50" s="360"/>
    </row>
    <row r="51" spans="2:7" ht="12.75">
      <c r="B51" s="322" t="s">
        <v>191</v>
      </c>
      <c r="C51" s="321"/>
      <c r="D51" s="314">
        <f>+'Inversión total en programas'!B49</f>
        <v>236000000</v>
      </c>
      <c r="E51" s="318"/>
      <c r="F51" s="315" t="e">
        <f>+D51/E113</f>
        <v>#REF!</v>
      </c>
      <c r="G51" s="360"/>
    </row>
    <row r="52" spans="2:7" ht="12.75" hidden="1" outlineLevel="1">
      <c r="B52" s="322" t="s">
        <v>75</v>
      </c>
      <c r="C52" s="321"/>
      <c r="D52" s="314">
        <f>+'Inversión total en programas'!B50</f>
        <v>0</v>
      </c>
      <c r="E52" s="318"/>
      <c r="F52" s="315" t="e">
        <f>+D52/E113</f>
        <v>#REF!</v>
      </c>
      <c r="G52" s="360"/>
    </row>
    <row r="53" spans="2:7" ht="12.75" collapsed="1">
      <c r="B53" s="322" t="s">
        <v>64</v>
      </c>
      <c r="C53" s="321"/>
      <c r="D53" s="314" t="e">
        <f>+'Inversión total en programas'!B51</f>
        <v>#REF!</v>
      </c>
      <c r="E53" s="318"/>
      <c r="F53" s="315" t="e">
        <f>+D53/E113</f>
        <v>#REF!</v>
      </c>
      <c r="G53" s="360"/>
    </row>
    <row r="54" spans="2:7" ht="12.75">
      <c r="B54" s="317" t="s">
        <v>67</v>
      </c>
      <c r="C54" s="323"/>
      <c r="D54" s="314" t="e">
        <f>+'Inversión total en programas'!B52</f>
        <v>#REF!</v>
      </c>
      <c r="E54" s="314"/>
      <c r="F54" s="315" t="e">
        <f>+D54/E113</f>
        <v>#REF!</v>
      </c>
      <c r="G54" s="360"/>
    </row>
    <row r="55" spans="2:7" ht="12.75">
      <c r="B55" s="313"/>
      <c r="C55" s="323"/>
      <c r="D55" s="314"/>
      <c r="E55" s="314"/>
      <c r="F55" s="315"/>
      <c r="G55" s="360"/>
    </row>
    <row r="56" spans="2:7" ht="12.75">
      <c r="B56" s="317" t="s">
        <v>243</v>
      </c>
      <c r="C56" s="323"/>
      <c r="D56" s="318" t="e">
        <f>+D57+D65</f>
        <v>#REF!</v>
      </c>
      <c r="E56" s="318" t="e">
        <f>+D57+D65</f>
        <v>#REF!</v>
      </c>
      <c r="F56" s="319" t="e">
        <f>+E56/E113</f>
        <v>#REF!</v>
      </c>
      <c r="G56" s="360"/>
    </row>
    <row r="57" spans="2:7" ht="12.75">
      <c r="B57" s="317" t="s">
        <v>63</v>
      </c>
      <c r="C57" s="323"/>
      <c r="D57" s="314">
        <f>+'Inversión total en programas'!B55</f>
        <v>769208400</v>
      </c>
      <c r="E57" s="318"/>
      <c r="F57" s="315" t="e">
        <f>+D57/E113</f>
        <v>#REF!</v>
      </c>
      <c r="G57" s="360"/>
    </row>
    <row r="58" spans="2:7" ht="12.75">
      <c r="B58" s="322" t="s">
        <v>34</v>
      </c>
      <c r="C58" s="323"/>
      <c r="D58" s="314">
        <f>+'Inversión total en programas'!B56</f>
        <v>170000000</v>
      </c>
      <c r="E58" s="314"/>
      <c r="F58" s="315" t="e">
        <f>+D58/E113</f>
        <v>#REF!</v>
      </c>
      <c r="G58" s="360"/>
    </row>
    <row r="59" spans="2:7" ht="12.75">
      <c r="B59" s="322" t="s">
        <v>168</v>
      </c>
      <c r="C59" s="324"/>
      <c r="D59" s="314">
        <f>+'Inversión total en programas'!B57</f>
        <v>260000000</v>
      </c>
      <c r="E59" s="318"/>
      <c r="F59" s="315" t="e">
        <f>+D59/E113</f>
        <v>#REF!</v>
      </c>
      <c r="G59" s="360"/>
    </row>
    <row r="60" spans="2:7" ht="12.75">
      <c r="B60" s="322" t="s">
        <v>246</v>
      </c>
      <c r="C60" s="324"/>
      <c r="D60" s="314">
        <f>+'Inversión total en programas'!B58</f>
        <v>289208400</v>
      </c>
      <c r="E60" s="318"/>
      <c r="F60" s="315" t="e">
        <f>+D60/E113</f>
        <v>#REF!</v>
      </c>
      <c r="G60" s="360"/>
    </row>
    <row r="61" spans="2:7" ht="12.75">
      <c r="B61" s="322" t="s">
        <v>175</v>
      </c>
      <c r="C61" s="324"/>
      <c r="D61" s="314">
        <f>+'Inversión total en programas'!B59</f>
        <v>50000000</v>
      </c>
      <c r="E61" s="318"/>
      <c r="F61" s="315" t="e">
        <f>+D61/E113</f>
        <v>#REF!</v>
      </c>
      <c r="G61" s="360"/>
    </row>
    <row r="62" spans="2:7" ht="12.75">
      <c r="B62" s="313" t="s">
        <v>64</v>
      </c>
      <c r="C62" s="323"/>
      <c r="D62" s="314" t="e">
        <f>+'Inversión total en programas'!B60</f>
        <v>#REF!</v>
      </c>
      <c r="E62" s="314"/>
      <c r="F62" s="315" t="e">
        <f>+D62/E113</f>
        <v>#REF!</v>
      </c>
      <c r="G62" s="360"/>
    </row>
    <row r="63" spans="2:7" ht="12.75">
      <c r="B63" s="313" t="s">
        <v>247</v>
      </c>
      <c r="C63" s="323"/>
      <c r="D63" s="314" t="e">
        <f>+'Inversión total en programas'!B61</f>
        <v>#REF!</v>
      </c>
      <c r="E63" s="314"/>
      <c r="F63" s="315"/>
      <c r="G63" s="360">
        <f>1733333+1733333+1733333+4083400+4080816+2040408+2057471+2057471+1657471</f>
        <v>21177036</v>
      </c>
    </row>
    <row r="64" spans="2:7" ht="12.75">
      <c r="B64" s="313" t="s">
        <v>190</v>
      </c>
      <c r="C64" s="323"/>
      <c r="D64" s="314" t="e">
        <f>+'Inversión total en programas'!B62</f>
        <v>#REF!</v>
      </c>
      <c r="E64" s="314"/>
      <c r="F64" s="315"/>
      <c r="G64" s="360"/>
    </row>
    <row r="65" spans="2:7" ht="12.75">
      <c r="B65" s="320" t="s">
        <v>67</v>
      </c>
      <c r="C65" s="324"/>
      <c r="D65" s="314" t="e">
        <f>+'Inversión total en programas'!B63</f>
        <v>#REF!</v>
      </c>
      <c r="E65" s="318"/>
      <c r="F65" s="315" t="e">
        <f>+D65/E113</f>
        <v>#REF!</v>
      </c>
      <c r="G65" s="360">
        <f>+G63</f>
        <v>21177036</v>
      </c>
    </row>
    <row r="66" spans="2:7" ht="12.75">
      <c r="B66" s="313"/>
      <c r="C66" s="314"/>
      <c r="D66" s="314"/>
      <c r="E66" s="314"/>
      <c r="F66" s="316"/>
      <c r="G66" s="360"/>
    </row>
    <row r="67" spans="2:7" ht="12.75">
      <c r="B67" s="317" t="s">
        <v>26</v>
      </c>
      <c r="C67" s="314"/>
      <c r="D67" s="318" t="e">
        <f>+D68+D72</f>
        <v>#REF!</v>
      </c>
      <c r="E67" s="318" t="e">
        <f>+D68+D72</f>
        <v>#REF!</v>
      </c>
      <c r="F67" s="319" t="e">
        <f>+E67/E113</f>
        <v>#REF!</v>
      </c>
      <c r="G67" s="361" t="e">
        <f>+G68+G72</f>
        <v>#REF!</v>
      </c>
    </row>
    <row r="68" spans="2:7" ht="12.75">
      <c r="B68" s="320" t="s">
        <v>63</v>
      </c>
      <c r="C68" s="314"/>
      <c r="D68" s="325">
        <f>+'Inversión total en programas'!B66</f>
        <v>340000000</v>
      </c>
      <c r="E68" s="318"/>
      <c r="F68" s="315" t="e">
        <f>+D68/E113</f>
        <v>#REF!</v>
      </c>
      <c r="G68" s="360">
        <v>194637521</v>
      </c>
    </row>
    <row r="69" spans="2:7" ht="12.75">
      <c r="B69" s="313" t="s">
        <v>64</v>
      </c>
      <c r="C69" s="314"/>
      <c r="D69" s="323" t="e">
        <f>+'Inversión total en programas'!B67</f>
        <v>#REF!</v>
      </c>
      <c r="E69" s="314"/>
      <c r="F69" s="315" t="e">
        <f>+D69/E113</f>
        <v>#REF!</v>
      </c>
      <c r="G69" s="360" t="e">
        <f>+#REF!</f>
        <v>#REF!</v>
      </c>
    </row>
    <row r="70" spans="2:7" ht="12.75">
      <c r="B70" s="313" t="s">
        <v>176</v>
      </c>
      <c r="C70" s="314"/>
      <c r="D70" s="323" t="e">
        <f>+'Inversión total en programas'!B68</f>
        <v>#REF!</v>
      </c>
      <c r="E70" s="314"/>
      <c r="F70" s="315" t="e">
        <f>+D70/E113</f>
        <v>#REF!</v>
      </c>
      <c r="G70" s="360"/>
    </row>
    <row r="71" spans="2:7" ht="12.75">
      <c r="B71" s="313" t="s">
        <v>177</v>
      </c>
      <c r="C71" s="314"/>
      <c r="D71" s="323" t="e">
        <f>+'Inversión total en programas'!B69</f>
        <v>#REF!</v>
      </c>
      <c r="E71" s="314"/>
      <c r="F71" s="315" t="e">
        <f>+D71/E113</f>
        <v>#REF!</v>
      </c>
      <c r="G71" s="360"/>
    </row>
    <row r="72" spans="2:7" ht="12.75">
      <c r="B72" s="320" t="s">
        <v>67</v>
      </c>
      <c r="C72" s="314"/>
      <c r="D72" s="323" t="e">
        <f>+'Inversión total en programas'!B70</f>
        <v>#REF!</v>
      </c>
      <c r="E72" s="318"/>
      <c r="F72" s="315" t="e">
        <f>+D72/E113</f>
        <v>#REF!</v>
      </c>
      <c r="G72" s="362" t="e">
        <f>+G69</f>
        <v>#REF!</v>
      </c>
    </row>
    <row r="73" spans="2:7" ht="12.75">
      <c r="B73" s="313"/>
      <c r="C73" s="314"/>
      <c r="D73" s="323"/>
      <c r="E73" s="314"/>
      <c r="F73" s="315"/>
      <c r="G73" s="360"/>
    </row>
    <row r="74" spans="2:7" ht="12.75">
      <c r="B74" s="317" t="s">
        <v>178</v>
      </c>
      <c r="C74" s="314"/>
      <c r="D74" s="324" t="e">
        <f>+D75+D81</f>
        <v>#REF!</v>
      </c>
      <c r="E74" s="318" t="e">
        <f>+D75+D81</f>
        <v>#REF!</v>
      </c>
      <c r="F74" s="319" t="e">
        <f>+E74/E113</f>
        <v>#REF!</v>
      </c>
      <c r="G74" s="360"/>
    </row>
    <row r="75" spans="2:7" ht="12.75">
      <c r="B75" s="317" t="s">
        <v>63</v>
      </c>
      <c r="C75" s="314"/>
      <c r="D75" s="323">
        <f>+'Inversión total en programas'!B73</f>
        <v>472548000</v>
      </c>
      <c r="E75" s="318"/>
      <c r="F75" s="315" t="e">
        <f>+D75/E113</f>
        <v>#REF!</v>
      </c>
      <c r="G75" s="360"/>
    </row>
    <row r="76" spans="2:7" ht="12.75">
      <c r="B76" s="313" t="s">
        <v>181</v>
      </c>
      <c r="C76" s="326"/>
      <c r="D76" s="323">
        <f>+'Inversión total en programas'!B74</f>
        <v>258000000</v>
      </c>
      <c r="E76" s="326"/>
      <c r="F76" s="327" t="e">
        <f>+D76/E113</f>
        <v>#REF!</v>
      </c>
      <c r="G76" s="360"/>
    </row>
    <row r="77" spans="2:7" ht="12.75">
      <c r="B77" s="322" t="s">
        <v>182</v>
      </c>
      <c r="C77" s="314"/>
      <c r="D77" s="323">
        <f>+'Inversión total en programas'!B75</f>
        <v>74148000</v>
      </c>
      <c r="E77" s="318"/>
      <c r="F77" s="315" t="e">
        <f>+D77/E113</f>
        <v>#REF!</v>
      </c>
      <c r="G77" s="360"/>
    </row>
    <row r="78" spans="2:7" ht="12.75">
      <c r="B78" s="313" t="s">
        <v>224</v>
      </c>
      <c r="C78" s="314"/>
      <c r="D78" s="323">
        <f>+'Inversión total en programas'!B76</f>
        <v>130400000</v>
      </c>
      <c r="E78" s="314"/>
      <c r="F78" s="315" t="e">
        <f>+D78/E113</f>
        <v>#REF!</v>
      </c>
      <c r="G78" s="360"/>
    </row>
    <row r="79" spans="2:7" ht="12.75">
      <c r="B79" s="313" t="s">
        <v>179</v>
      </c>
      <c r="C79" s="314"/>
      <c r="D79" s="323">
        <f>+'Inversión total en programas'!B77</f>
        <v>10000000</v>
      </c>
      <c r="E79" s="314"/>
      <c r="F79" s="256" t="e">
        <f>+D79/E113</f>
        <v>#REF!</v>
      </c>
      <c r="G79" s="360"/>
    </row>
    <row r="80" spans="2:7" ht="12.75">
      <c r="B80" s="313" t="s">
        <v>180</v>
      </c>
      <c r="C80" s="314"/>
      <c r="D80" s="314" t="e">
        <f>+'Inversión total en programas'!B78</f>
        <v>#REF!</v>
      </c>
      <c r="E80" s="314"/>
      <c r="F80" s="256" t="e">
        <f>+D80/E113</f>
        <v>#REF!</v>
      </c>
      <c r="G80" s="360"/>
    </row>
    <row r="81" spans="2:7" ht="12.75">
      <c r="B81" s="317" t="s">
        <v>67</v>
      </c>
      <c r="C81" s="314"/>
      <c r="D81" s="314" t="e">
        <f>+'Inversión total en programas'!B79</f>
        <v>#REF!</v>
      </c>
      <c r="E81" s="318"/>
      <c r="F81" s="315" t="e">
        <f>+D81/E113</f>
        <v>#REF!</v>
      </c>
      <c r="G81" s="360"/>
    </row>
    <row r="82" spans="2:7" ht="12.75">
      <c r="B82" s="320"/>
      <c r="C82" s="314"/>
      <c r="D82" s="325"/>
      <c r="E82" s="318"/>
      <c r="F82" s="319"/>
      <c r="G82" s="360"/>
    </row>
    <row r="83" spans="2:7" ht="12.75">
      <c r="B83" s="320" t="s">
        <v>27</v>
      </c>
      <c r="C83" s="314"/>
      <c r="D83" s="321" t="e">
        <f>+D84+D93</f>
        <v>#REF!</v>
      </c>
      <c r="E83" s="318" t="e">
        <f>+D84+D93</f>
        <v>#REF!</v>
      </c>
      <c r="F83" s="319" t="e">
        <f>+E83/E113</f>
        <v>#REF!</v>
      </c>
      <c r="G83" s="361" t="e">
        <f>+G84+G93</f>
        <v>#REF!</v>
      </c>
    </row>
    <row r="84" spans="2:7" ht="12.75">
      <c r="B84" s="320" t="s">
        <v>63</v>
      </c>
      <c r="C84" s="314"/>
      <c r="D84" s="325">
        <f>SUM(D85:D89)</f>
        <v>452000000</v>
      </c>
      <c r="E84" s="318"/>
      <c r="F84" s="315" t="e">
        <f>+D84/E113</f>
        <v>#REF!</v>
      </c>
      <c r="G84" s="360">
        <v>291311426</v>
      </c>
    </row>
    <row r="85" spans="2:7" ht="12.75">
      <c r="B85" s="313" t="s">
        <v>183</v>
      </c>
      <c r="C85" s="314"/>
      <c r="D85" s="325">
        <f>+'Inversión total en programas'!B83</f>
        <v>220000000</v>
      </c>
      <c r="E85" s="314"/>
      <c r="F85" s="315" t="e">
        <f>+D85/E113</f>
        <v>#REF!</v>
      </c>
      <c r="G85" s="360"/>
    </row>
    <row r="86" spans="2:7" ht="12.75">
      <c r="B86" s="322" t="s">
        <v>59</v>
      </c>
      <c r="C86" s="314"/>
      <c r="D86" s="325">
        <f>+'Inversión total en programas'!B84</f>
        <v>55000000</v>
      </c>
      <c r="E86" s="318"/>
      <c r="F86" s="315" t="e">
        <f>+D86/E113</f>
        <v>#REF!</v>
      </c>
      <c r="G86" s="360"/>
    </row>
    <row r="87" spans="2:7" ht="12.75">
      <c r="B87" s="313" t="s">
        <v>60</v>
      </c>
      <c r="C87" s="314"/>
      <c r="D87" s="325">
        <f>+'Inversión total en programas'!B85</f>
        <v>30000000</v>
      </c>
      <c r="E87" s="314"/>
      <c r="F87" s="315" t="e">
        <f>+D87/E113</f>
        <v>#REF!</v>
      </c>
      <c r="G87" s="360"/>
    </row>
    <row r="88" spans="2:7" ht="12.75">
      <c r="B88" s="313" t="s">
        <v>184</v>
      </c>
      <c r="C88" s="314"/>
      <c r="D88" s="325">
        <f>+'Inversión total en programas'!B86</f>
        <v>117000000</v>
      </c>
      <c r="E88" s="314"/>
      <c r="F88" s="315" t="e">
        <f>+D88/E113</f>
        <v>#REF!</v>
      </c>
      <c r="G88" s="360"/>
    </row>
    <row r="89" spans="2:7" ht="12.75">
      <c r="B89" s="322" t="s">
        <v>214</v>
      </c>
      <c r="C89" s="314"/>
      <c r="D89" s="325">
        <f>+'Inversión total en programas'!B87</f>
        <v>30000000</v>
      </c>
      <c r="E89" s="318"/>
      <c r="F89" s="315" t="e">
        <f>+D89/E113</f>
        <v>#REF!</v>
      </c>
      <c r="G89" s="360"/>
    </row>
    <row r="90" spans="2:8" ht="12.75">
      <c r="B90" s="322" t="s">
        <v>185</v>
      </c>
      <c r="C90" s="314"/>
      <c r="D90" s="325" t="e">
        <f>+'Inversión total en programas'!B88</f>
        <v>#REF!</v>
      </c>
      <c r="E90" s="318"/>
      <c r="F90" s="315" t="e">
        <f>+D90/E113</f>
        <v>#REF!</v>
      </c>
      <c r="G90" s="360">
        <v>14882095</v>
      </c>
      <c r="H90" s="306" t="s">
        <v>250</v>
      </c>
    </row>
    <row r="91" spans="2:7" ht="12.75">
      <c r="B91" s="322" t="s">
        <v>216</v>
      </c>
      <c r="C91" s="314"/>
      <c r="D91" s="325" t="e">
        <f>+'Inversión total en programas'!B89</f>
        <v>#REF!</v>
      </c>
      <c r="E91" s="318"/>
      <c r="F91" s="315" t="e">
        <f>+D91/E113</f>
        <v>#REF!</v>
      </c>
      <c r="G91" s="360"/>
    </row>
    <row r="92" spans="2:7" ht="12.75">
      <c r="B92" s="322" t="s">
        <v>215</v>
      </c>
      <c r="C92" s="314"/>
      <c r="D92" s="325" t="e">
        <f>+'Inversión total en programas'!B90</f>
        <v>#REF!</v>
      </c>
      <c r="E92" s="318"/>
      <c r="F92" s="315" t="e">
        <f>+D92/E113</f>
        <v>#REF!</v>
      </c>
      <c r="G92" s="360" t="e">
        <f>+#REF!</f>
        <v>#REF!</v>
      </c>
    </row>
    <row r="93" spans="2:7" ht="12.75">
      <c r="B93" s="320" t="s">
        <v>67</v>
      </c>
      <c r="C93" s="314"/>
      <c r="D93" s="325" t="e">
        <f>+'Inversión total en programas'!B91</f>
        <v>#REF!</v>
      </c>
      <c r="E93" s="318"/>
      <c r="F93" s="315" t="e">
        <f>+D93/E113</f>
        <v>#REF!</v>
      </c>
      <c r="G93" s="360" t="e">
        <f>SUM(G85:G92)</f>
        <v>#REF!</v>
      </c>
    </row>
    <row r="94" spans="2:7" ht="12.75">
      <c r="B94" s="313"/>
      <c r="C94" s="314"/>
      <c r="D94" s="325"/>
      <c r="E94" s="314"/>
      <c r="F94" s="315"/>
      <c r="G94" s="360"/>
    </row>
    <row r="95" spans="2:7" ht="12.75">
      <c r="B95" s="320"/>
      <c r="C95" s="314"/>
      <c r="D95" s="321"/>
      <c r="E95" s="318"/>
      <c r="F95" s="315"/>
      <c r="G95" s="360"/>
    </row>
    <row r="96" spans="2:7" ht="12.75">
      <c r="B96" s="317" t="s">
        <v>188</v>
      </c>
      <c r="C96" s="314"/>
      <c r="D96" s="321" t="e">
        <f>+D97+D99</f>
        <v>#REF!</v>
      </c>
      <c r="E96" s="318" t="e">
        <f>+D97+D99</f>
        <v>#REF!</v>
      </c>
      <c r="F96" s="319" t="e">
        <f>+E96/E113</f>
        <v>#REF!</v>
      </c>
      <c r="G96" s="361" t="e">
        <f>+G97+G99</f>
        <v>#REF!</v>
      </c>
    </row>
    <row r="97" spans="2:7" ht="12.75">
      <c r="B97" s="317" t="s">
        <v>63</v>
      </c>
      <c r="C97" s="314"/>
      <c r="D97" s="325">
        <f>+'Inversión total en programas'!B95</f>
        <v>73000000</v>
      </c>
      <c r="E97" s="314"/>
      <c r="F97" s="315" t="e">
        <f>+D97/E113</f>
        <v>#REF!</v>
      </c>
      <c r="G97" s="360">
        <v>73568009</v>
      </c>
    </row>
    <row r="98" spans="2:7" ht="12.75">
      <c r="B98" s="322" t="s">
        <v>187</v>
      </c>
      <c r="C98" s="314"/>
      <c r="D98" s="325" t="e">
        <f>+'Inversión total en programas'!B96</f>
        <v>#REF!</v>
      </c>
      <c r="E98" s="318"/>
      <c r="F98" s="315" t="e">
        <f>+D98/E113</f>
        <v>#REF!</v>
      </c>
      <c r="G98" s="360" t="e">
        <f>+#REF!</f>
        <v>#REF!</v>
      </c>
    </row>
    <row r="99" spans="2:7" ht="12.75">
      <c r="B99" s="317" t="s">
        <v>67</v>
      </c>
      <c r="C99" s="314"/>
      <c r="D99" s="321" t="e">
        <f>+'Inversión total en programas'!B97</f>
        <v>#REF!</v>
      </c>
      <c r="E99" s="314"/>
      <c r="F99" s="315" t="e">
        <f>+D99/E113</f>
        <v>#REF!</v>
      </c>
      <c r="G99" s="360" t="e">
        <f>+G98</f>
        <v>#REF!</v>
      </c>
    </row>
    <row r="100" spans="2:7" ht="13.5" thickBot="1">
      <c r="B100" s="364"/>
      <c r="C100" s="365"/>
      <c r="D100" s="366"/>
      <c r="E100" s="365"/>
      <c r="F100" s="367"/>
      <c r="G100" s="360"/>
    </row>
    <row r="101" spans="2:7" ht="13.5" thickBot="1">
      <c r="B101" s="341" t="s">
        <v>203</v>
      </c>
      <c r="C101" s="342" t="e">
        <f>+C9+C12</f>
        <v>#REF!</v>
      </c>
      <c r="D101" s="342" t="e">
        <f>+D96+D83+D74+D67+D56+D47+D37+D30</f>
        <v>#REF!</v>
      </c>
      <c r="E101" s="342" t="e">
        <f>+E9+E12+E28</f>
        <v>#REF!</v>
      </c>
      <c r="F101" s="343" t="e">
        <f>+E101/E113</f>
        <v>#REF!</v>
      </c>
      <c r="G101" s="363"/>
    </row>
    <row r="102" spans="2:7" ht="12.75">
      <c r="B102" s="368"/>
      <c r="C102" s="369"/>
      <c r="D102" s="369"/>
      <c r="E102" s="369"/>
      <c r="F102" s="370"/>
      <c r="G102" s="360"/>
    </row>
    <row r="103" spans="2:7" ht="12.75">
      <c r="B103" s="317" t="s">
        <v>225</v>
      </c>
      <c r="C103" s="314"/>
      <c r="D103" s="314"/>
      <c r="E103" s="318" t="e">
        <f>+'Inversión total en programas'!C99</f>
        <v>#REF!</v>
      </c>
      <c r="F103" s="319" t="e">
        <f>+E103/E113</f>
        <v>#REF!</v>
      </c>
      <c r="G103" s="360"/>
    </row>
    <row r="104" spans="2:7" ht="12.75">
      <c r="B104" s="313"/>
      <c r="C104" s="314"/>
      <c r="D104" s="314"/>
      <c r="E104" s="314"/>
      <c r="F104" s="316"/>
      <c r="G104" s="360"/>
    </row>
    <row r="105" spans="2:7" ht="12.75">
      <c r="B105" s="317" t="s">
        <v>204</v>
      </c>
      <c r="C105" s="314"/>
      <c r="D105" s="314"/>
      <c r="E105" s="314"/>
      <c r="F105" s="316"/>
      <c r="G105" s="360"/>
    </row>
    <row r="106" spans="2:7" ht="13.5" thickBot="1">
      <c r="B106" s="328"/>
      <c r="C106" s="329"/>
      <c r="D106" s="329"/>
      <c r="E106" s="329"/>
      <c r="F106" s="330"/>
      <c r="G106" s="360"/>
    </row>
    <row r="107" spans="2:7" ht="13.5" thickBot="1">
      <c r="B107" s="331" t="s">
        <v>205</v>
      </c>
      <c r="C107" s="332"/>
      <c r="D107" s="332"/>
      <c r="E107" s="332" t="e">
        <f>+E105+E103+E101</f>
        <v>#REF!</v>
      </c>
      <c r="F107" s="333" t="e">
        <f>+F103+F28+F12+F9</f>
        <v>#REF!</v>
      </c>
      <c r="G107" s="363"/>
    </row>
    <row r="108" spans="2:7" ht="12.75">
      <c r="B108" s="334"/>
      <c r="C108" s="335"/>
      <c r="D108" s="335"/>
      <c r="E108" s="335"/>
      <c r="F108" s="336"/>
      <c r="G108" s="360"/>
    </row>
    <row r="109" spans="2:7" ht="12.75">
      <c r="B109" s="317" t="s">
        <v>240</v>
      </c>
      <c r="C109" s="314"/>
      <c r="D109" s="314"/>
      <c r="E109" s="318" t="e">
        <f>+E110+E111</f>
        <v>#REF!</v>
      </c>
      <c r="F109" s="319" t="e">
        <f>+E109/$E$113</f>
        <v>#REF!</v>
      </c>
      <c r="G109" s="360"/>
    </row>
    <row r="110" spans="2:7" ht="12.75">
      <c r="B110" s="322" t="s">
        <v>226</v>
      </c>
      <c r="C110" s="314"/>
      <c r="D110" s="325"/>
      <c r="E110" s="314" t="e">
        <f>+SUPERAVIT2005_FNP</f>
        <v>#REF!</v>
      </c>
      <c r="F110" s="315" t="e">
        <f>+E110/$E$113</f>
        <v>#REF!</v>
      </c>
      <c r="G110" s="360"/>
    </row>
    <row r="111" spans="2:7" ht="12.75">
      <c r="B111" s="322" t="s">
        <v>217</v>
      </c>
      <c r="C111" s="314"/>
      <c r="D111" s="325"/>
      <c r="E111" s="314" t="e">
        <f>+SUPERAVITPPC_2005</f>
        <v>#REF!</v>
      </c>
      <c r="F111" s="315" t="e">
        <f>+E111/$E$113</f>
        <v>#REF!</v>
      </c>
      <c r="G111" s="360"/>
    </row>
    <row r="112" spans="2:7" ht="13.5" thickBot="1">
      <c r="B112" s="337"/>
      <c r="C112" s="338"/>
      <c r="D112" s="339"/>
      <c r="E112" s="338"/>
      <c r="F112" s="340"/>
      <c r="G112" s="360"/>
    </row>
    <row r="113" spans="2:7" ht="13.5" thickBot="1">
      <c r="B113" s="341" t="s">
        <v>206</v>
      </c>
      <c r="C113" s="342"/>
      <c r="D113" s="342"/>
      <c r="E113" s="342" t="e">
        <f>+E107+E109</f>
        <v>#REF!</v>
      </c>
      <c r="F113" s="343">
        <v>1</v>
      </c>
      <c r="G113" s="363"/>
    </row>
    <row r="114" spans="2:7" ht="15">
      <c r="B114" s="344"/>
      <c r="C114" s="345" t="s">
        <v>245</v>
      </c>
      <c r="D114" s="345"/>
      <c r="E114" s="345" t="e">
        <f>+#REF!</f>
        <v>#REF!</v>
      </c>
      <c r="F114" s="344"/>
      <c r="G114" s="312"/>
    </row>
    <row r="115" spans="2:7" ht="15">
      <c r="B115" s="344"/>
      <c r="C115" s="345" t="s">
        <v>167</v>
      </c>
      <c r="D115" s="345"/>
      <c r="E115" s="345" t="e">
        <f>+E114-E113</f>
        <v>#REF!</v>
      </c>
      <c r="F115" s="344"/>
      <c r="G115" s="312"/>
    </row>
    <row r="116" spans="2:7" ht="15">
      <c r="B116" s="344"/>
      <c r="C116" s="345"/>
      <c r="D116" s="345"/>
      <c r="E116" s="345"/>
      <c r="F116" s="344"/>
      <c r="G116" s="312"/>
    </row>
    <row r="117" spans="2:7" ht="15">
      <c r="B117" s="344"/>
      <c r="C117" s="345"/>
      <c r="D117" s="345"/>
      <c r="E117" s="345"/>
      <c r="F117" s="344"/>
      <c r="G117" s="312"/>
    </row>
    <row r="118" spans="2:7" ht="15">
      <c r="B118" s="257" t="s">
        <v>228</v>
      </c>
      <c r="C118" s="346"/>
      <c r="D118" s="345"/>
      <c r="E118" s="345"/>
      <c r="F118" s="344"/>
      <c r="G118" s="312"/>
    </row>
    <row r="119" spans="2:7" ht="15">
      <c r="B119" s="347" t="s">
        <v>229</v>
      </c>
      <c r="C119" s="346"/>
      <c r="D119" s="345"/>
      <c r="E119" s="345"/>
      <c r="F119" s="344"/>
      <c r="G119" s="312"/>
    </row>
    <row r="120" spans="2:7" ht="12.75">
      <c r="B120" s="346" t="s">
        <v>169</v>
      </c>
      <c r="C120" s="348" t="e">
        <f>+#REF!</f>
        <v>#REF!</v>
      </c>
      <c r="D120" s="306"/>
      <c r="E120" s="306"/>
      <c r="F120" s="306"/>
      <c r="G120" s="312"/>
    </row>
    <row r="121" spans="2:7" ht="12.75">
      <c r="B121" s="257" t="s">
        <v>233</v>
      </c>
      <c r="C121" s="346" t="e">
        <f>+#REF!-#REF!</f>
        <v>#REF!</v>
      </c>
      <c r="D121" s="306"/>
      <c r="E121" s="306"/>
      <c r="F121" s="306"/>
      <c r="G121" s="312"/>
    </row>
    <row r="122" spans="2:7" ht="12.75">
      <c r="B122" s="257" t="s">
        <v>229</v>
      </c>
      <c r="C122" s="349" t="e">
        <f>+#REF!</f>
        <v>#REF!</v>
      </c>
      <c r="D122" s="306"/>
      <c r="E122" s="306"/>
      <c r="F122" s="306"/>
      <c r="G122" s="312"/>
    </row>
    <row r="123" spans="2:7" ht="12.75">
      <c r="B123" s="346" t="s">
        <v>173</v>
      </c>
      <c r="C123" s="350" t="e">
        <f>+#REF!</f>
        <v>#REF!</v>
      </c>
      <c r="D123" s="306"/>
      <c r="E123" s="306"/>
      <c r="F123" s="306"/>
      <c r="G123" s="312"/>
    </row>
    <row r="124" spans="2:7" ht="12.75">
      <c r="B124" s="346" t="s">
        <v>174</v>
      </c>
      <c r="C124" s="346" t="e">
        <f>+C123+C122+C121+C120</f>
        <v>#REF!</v>
      </c>
      <c r="D124" s="306"/>
      <c r="E124" s="306"/>
      <c r="F124" s="306"/>
      <c r="G124" s="312"/>
    </row>
    <row r="125" spans="2:7" ht="12.75">
      <c r="B125" s="346" t="s">
        <v>234</v>
      </c>
      <c r="C125" s="346"/>
      <c r="D125" s="306"/>
      <c r="E125" s="351"/>
      <c r="F125" s="306"/>
      <c r="G125" s="312"/>
    </row>
    <row r="126" spans="2:7" ht="12.75">
      <c r="B126" s="257" t="s">
        <v>238</v>
      </c>
      <c r="C126" s="350" t="e">
        <f>+#REF!-#REF!-#REF!</f>
        <v>#REF!</v>
      </c>
      <c r="D126" s="306"/>
      <c r="E126" s="351"/>
      <c r="F126" s="306"/>
      <c r="G126" s="312"/>
    </row>
    <row r="127" spans="2:7" ht="12.75">
      <c r="B127" s="346" t="s">
        <v>237</v>
      </c>
      <c r="C127" s="349" t="e">
        <f>+C124-C126</f>
        <v>#REF!</v>
      </c>
      <c r="D127" s="306"/>
      <c r="E127" s="351"/>
      <c r="F127" s="306"/>
      <c r="G127" s="312"/>
    </row>
    <row r="128" spans="2:7" ht="12.75">
      <c r="B128" s="346"/>
      <c r="C128" s="349"/>
      <c r="D128" s="306"/>
      <c r="E128" s="306"/>
      <c r="F128" s="306"/>
      <c r="G128" s="312"/>
    </row>
    <row r="129" spans="2:7" ht="12.75">
      <c r="B129" s="347" t="s">
        <v>230</v>
      </c>
      <c r="C129" s="346"/>
      <c r="F129" s="353"/>
      <c r="G129" s="312"/>
    </row>
    <row r="130" spans="2:7" ht="12.75">
      <c r="B130" s="346" t="s">
        <v>169</v>
      </c>
      <c r="C130" s="348" t="e">
        <f>+#REF!</f>
        <v>#REF!</v>
      </c>
      <c r="D130" s="353"/>
      <c r="G130" s="312"/>
    </row>
    <row r="131" spans="2:7" ht="12.75">
      <c r="B131" s="257" t="s">
        <v>233</v>
      </c>
      <c r="C131" s="346" t="e">
        <f>+#REF!</f>
        <v>#REF!</v>
      </c>
      <c r="D131" s="353"/>
      <c r="G131" s="312"/>
    </row>
    <row r="132" spans="2:7" ht="12.75">
      <c r="B132" s="257" t="s">
        <v>231</v>
      </c>
      <c r="C132" s="346" t="e">
        <f>+CUOTAPPC2005</f>
        <v>#REF!</v>
      </c>
      <c r="D132" s="353"/>
      <c r="G132" s="312"/>
    </row>
    <row r="133" spans="2:7" ht="12.75">
      <c r="B133" s="346" t="s">
        <v>232</v>
      </c>
      <c r="C133" s="350" t="e">
        <f>+VTAS2005</f>
        <v>#REF!</v>
      </c>
      <c r="G133" s="312"/>
    </row>
    <row r="134" spans="2:7" ht="12.75">
      <c r="B134" s="346" t="s">
        <v>174</v>
      </c>
      <c r="C134" s="346" t="e">
        <f>SUM(C130:C133)</f>
        <v>#REF!</v>
      </c>
      <c r="G134" s="312"/>
    </row>
    <row r="135" spans="2:7" ht="12.75">
      <c r="B135" s="346" t="s">
        <v>234</v>
      </c>
      <c r="C135" s="346"/>
      <c r="G135" s="312"/>
    </row>
    <row r="136" spans="2:7" ht="12.75">
      <c r="B136" s="346" t="s">
        <v>235</v>
      </c>
      <c r="C136" s="346" t="e">
        <f>+GTOSEPPC</f>
        <v>#REF!</v>
      </c>
      <c r="G136" s="312"/>
    </row>
    <row r="137" spans="2:7" ht="12.75">
      <c r="B137" s="346" t="s">
        <v>236</v>
      </c>
      <c r="C137" s="350">
        <f>DIAG_PPC</f>
        <v>117000000</v>
      </c>
      <c r="G137" s="312"/>
    </row>
    <row r="138" spans="2:7" ht="12.75">
      <c r="B138" s="346" t="s">
        <v>237</v>
      </c>
      <c r="C138" s="346" t="e">
        <f>+C134-C136-C137</f>
        <v>#REF!</v>
      </c>
      <c r="G138" s="312"/>
    </row>
    <row r="139" ht="12.75">
      <c r="G139" s="312"/>
    </row>
    <row r="140" ht="12.75">
      <c r="G140" s="312"/>
    </row>
    <row r="141" ht="12.75">
      <c r="G141" s="312"/>
    </row>
    <row r="142" ht="12.75">
      <c r="G142" s="312"/>
    </row>
    <row r="143" ht="12.75">
      <c r="G143" s="312"/>
    </row>
    <row r="144" ht="12.75">
      <c r="G144" s="312"/>
    </row>
    <row r="145" ht="12.75">
      <c r="G145" s="312"/>
    </row>
    <row r="146" ht="12.75">
      <c r="G146" s="312"/>
    </row>
    <row r="147" ht="12.75">
      <c r="G147" s="312"/>
    </row>
    <row r="148" ht="12.75">
      <c r="G148" s="312"/>
    </row>
    <row r="149" ht="12.75">
      <c r="G149" s="312"/>
    </row>
    <row r="150" ht="12.75">
      <c r="G150" s="312"/>
    </row>
    <row r="151" ht="12.75">
      <c r="G151" s="312"/>
    </row>
    <row r="152" ht="12.75">
      <c r="G152" s="312"/>
    </row>
    <row r="153" ht="12.75">
      <c r="G153" s="312"/>
    </row>
    <row r="154" ht="12.75">
      <c r="G154" s="312"/>
    </row>
    <row r="155" ht="12.75">
      <c r="G155" s="312"/>
    </row>
    <row r="156" ht="12.75">
      <c r="G156" s="312"/>
    </row>
    <row r="157" ht="12.75">
      <c r="G157" s="312"/>
    </row>
    <row r="158" ht="12.75">
      <c r="G158" s="312"/>
    </row>
    <row r="159" ht="12.75">
      <c r="G159" s="312"/>
    </row>
    <row r="160" ht="12.75">
      <c r="G160" s="312"/>
    </row>
    <row r="161" ht="12.75">
      <c r="G161" s="312"/>
    </row>
    <row r="162" ht="12.75">
      <c r="G162" s="312"/>
    </row>
    <row r="163" ht="12.75">
      <c r="G163" s="312"/>
    </row>
    <row r="164" ht="12.75">
      <c r="G164" s="312"/>
    </row>
    <row r="165" ht="12.75">
      <c r="G165" s="312"/>
    </row>
    <row r="166" ht="12.75">
      <c r="G166" s="312"/>
    </row>
    <row r="167" ht="12.75">
      <c r="G167" s="312"/>
    </row>
    <row r="168" ht="12.75">
      <c r="G168" s="312"/>
    </row>
    <row r="169" ht="12.75">
      <c r="G169" s="312"/>
    </row>
    <row r="170" ht="12.75">
      <c r="G170" s="312"/>
    </row>
    <row r="171" ht="12.75">
      <c r="G171" s="312"/>
    </row>
    <row r="172" ht="12.75">
      <c r="G172" s="312"/>
    </row>
    <row r="173" ht="12.75">
      <c r="G173" s="312"/>
    </row>
    <row r="174" ht="12.75">
      <c r="G174" s="312"/>
    </row>
    <row r="175" ht="12.75">
      <c r="G175" s="312"/>
    </row>
    <row r="176" ht="12.75">
      <c r="G176" s="312"/>
    </row>
    <row r="177" ht="12.75">
      <c r="G177" s="312"/>
    </row>
    <row r="178" ht="12.75">
      <c r="G178" s="312"/>
    </row>
    <row r="179" ht="12.75">
      <c r="G179" s="312"/>
    </row>
    <row r="180" ht="12.75">
      <c r="G180" s="312"/>
    </row>
    <row r="181" ht="12.75">
      <c r="G181" s="312"/>
    </row>
    <row r="182" ht="12.75">
      <c r="G182" s="312"/>
    </row>
    <row r="183" ht="12.75">
      <c r="G183" s="312"/>
    </row>
    <row r="184" ht="12.75">
      <c r="G184" s="312"/>
    </row>
    <row r="185" ht="12.75">
      <c r="G185" s="312"/>
    </row>
    <row r="186" ht="12.75">
      <c r="G186" s="312"/>
    </row>
    <row r="187" ht="12.75">
      <c r="G187" s="312"/>
    </row>
    <row r="188" ht="12.75">
      <c r="G188" s="312"/>
    </row>
    <row r="189" ht="12.75">
      <c r="G189" s="312"/>
    </row>
    <row r="190" ht="12.75">
      <c r="G190" s="312"/>
    </row>
    <row r="191" ht="12.75">
      <c r="G191" s="312"/>
    </row>
    <row r="192" ht="12.75">
      <c r="G192" s="312"/>
    </row>
    <row r="193" ht="12.75">
      <c r="G193" s="312"/>
    </row>
    <row r="194" ht="12.75">
      <c r="G194" s="312"/>
    </row>
    <row r="195" ht="12.75">
      <c r="G195" s="312"/>
    </row>
    <row r="196" ht="12.75">
      <c r="G196" s="312"/>
    </row>
    <row r="197" ht="12.75">
      <c r="G197" s="312"/>
    </row>
    <row r="198" ht="12.75">
      <c r="G198" s="312"/>
    </row>
    <row r="199" ht="12.75">
      <c r="G199" s="312"/>
    </row>
    <row r="200" ht="12.75">
      <c r="G200" s="312"/>
    </row>
    <row r="201" ht="12.75">
      <c r="G201" s="312"/>
    </row>
    <row r="202" ht="12.75">
      <c r="G202" s="312"/>
    </row>
    <row r="203" ht="12.75">
      <c r="G203" s="312"/>
    </row>
    <row r="204" ht="12.75">
      <c r="G204" s="312"/>
    </row>
    <row r="205" ht="12.75">
      <c r="G205" s="312"/>
    </row>
    <row r="206" ht="12.75">
      <c r="G206" s="312"/>
    </row>
    <row r="207" ht="12.75">
      <c r="G207" s="312"/>
    </row>
    <row r="208" ht="12.75">
      <c r="G208" s="312"/>
    </row>
    <row r="209" ht="12.75">
      <c r="G209" s="312"/>
    </row>
    <row r="210" ht="12.75">
      <c r="G210" s="312"/>
    </row>
    <row r="211" ht="12.75">
      <c r="G211" s="312"/>
    </row>
    <row r="212" ht="12.75">
      <c r="G212" s="312"/>
    </row>
    <row r="213" ht="12.75">
      <c r="G213" s="312"/>
    </row>
    <row r="214" ht="12.75">
      <c r="G214" s="312"/>
    </row>
    <row r="215" ht="12.75">
      <c r="G215" s="312"/>
    </row>
    <row r="216" ht="12.75">
      <c r="G216" s="312"/>
    </row>
    <row r="217" ht="12.75">
      <c r="G217" s="312"/>
    </row>
    <row r="218" ht="12.75">
      <c r="G218" s="312"/>
    </row>
    <row r="219" ht="12.75">
      <c r="G219" s="312"/>
    </row>
    <row r="220" ht="12.75">
      <c r="G220" s="312"/>
    </row>
    <row r="221" ht="12.75">
      <c r="G221" s="312"/>
    </row>
    <row r="222" ht="12.75">
      <c r="G222" s="312"/>
    </row>
    <row r="223" ht="12.75">
      <c r="G223" s="312"/>
    </row>
    <row r="224" ht="12.75">
      <c r="G224" s="312"/>
    </row>
    <row r="225" ht="12.75">
      <c r="G225" s="312"/>
    </row>
    <row r="226" ht="12.75">
      <c r="G226" s="312"/>
    </row>
    <row r="227" ht="12.75">
      <c r="G227" s="312"/>
    </row>
    <row r="228" ht="12.75">
      <c r="G228" s="312"/>
    </row>
    <row r="229" ht="12.75">
      <c r="G229" s="312"/>
    </row>
    <row r="230" ht="12.75">
      <c r="G230" s="312"/>
    </row>
    <row r="231" ht="12.75">
      <c r="G231" s="312"/>
    </row>
    <row r="232" ht="12.75">
      <c r="G232" s="312"/>
    </row>
    <row r="233" ht="12.75">
      <c r="G233" s="312"/>
    </row>
    <row r="234" ht="12.75">
      <c r="G234" s="312"/>
    </row>
    <row r="235" ht="12.75">
      <c r="G235" s="312"/>
    </row>
    <row r="236" ht="12.75">
      <c r="G236" s="312"/>
    </row>
    <row r="237" ht="12.75">
      <c r="G237" s="312"/>
    </row>
    <row r="238" ht="12.75">
      <c r="G238" s="312"/>
    </row>
    <row r="239" ht="12.75">
      <c r="G239" s="312"/>
    </row>
    <row r="240" ht="12.75">
      <c r="G240" s="312"/>
    </row>
    <row r="241" ht="12.75">
      <c r="G241" s="312"/>
    </row>
    <row r="242" ht="12.75">
      <c r="G242" s="312"/>
    </row>
    <row r="243" ht="12.75">
      <c r="G243" s="312"/>
    </row>
    <row r="244" ht="12.75">
      <c r="G244" s="312"/>
    </row>
    <row r="245" ht="12.75">
      <c r="G245" s="312"/>
    </row>
    <row r="246" ht="12.75">
      <c r="G246" s="312"/>
    </row>
    <row r="247" ht="12.75">
      <c r="G247" s="312"/>
    </row>
    <row r="248" ht="12.75">
      <c r="G248" s="312"/>
    </row>
    <row r="249" ht="12.75">
      <c r="G249" s="312"/>
    </row>
    <row r="250" ht="12.75">
      <c r="G250" s="312"/>
    </row>
    <row r="251" ht="12.75">
      <c r="G251" s="312"/>
    </row>
    <row r="252" ht="12.75">
      <c r="G252" s="312"/>
    </row>
    <row r="253" ht="12.75">
      <c r="G253" s="312"/>
    </row>
    <row r="254" ht="12.75">
      <c r="G254" s="312"/>
    </row>
    <row r="255" ht="12.75">
      <c r="G255" s="312"/>
    </row>
    <row r="256" ht="12.75">
      <c r="G256" s="312"/>
    </row>
    <row r="257" ht="12.75">
      <c r="G257" s="312"/>
    </row>
    <row r="258" ht="12.75">
      <c r="G258" s="312"/>
    </row>
    <row r="259" ht="12.75">
      <c r="G259" s="312"/>
    </row>
    <row r="260" ht="12.75">
      <c r="G260" s="312"/>
    </row>
    <row r="261" ht="12.75">
      <c r="G261" s="312"/>
    </row>
    <row r="262" ht="12.75">
      <c r="G262" s="312"/>
    </row>
    <row r="263" ht="12.75">
      <c r="G263" s="312"/>
    </row>
    <row r="264" ht="12.75">
      <c r="G264" s="312"/>
    </row>
    <row r="265" ht="12.75">
      <c r="G265" s="312"/>
    </row>
    <row r="266" ht="12.75">
      <c r="G266" s="312"/>
    </row>
    <row r="267" ht="12.75">
      <c r="G267" s="312"/>
    </row>
    <row r="268" ht="12.75">
      <c r="G268" s="312"/>
    </row>
    <row r="269" ht="12.75">
      <c r="G269" s="312"/>
    </row>
    <row r="270" ht="12.75">
      <c r="G270" s="312"/>
    </row>
    <row r="271" ht="12.75">
      <c r="G271" s="312"/>
    </row>
    <row r="272" ht="12.75">
      <c r="G272" s="312"/>
    </row>
    <row r="273" ht="12.75">
      <c r="G273" s="312"/>
    </row>
    <row r="274" ht="12.75">
      <c r="G274" s="312"/>
    </row>
    <row r="275" ht="12.75">
      <c r="G275" s="312"/>
    </row>
    <row r="276" ht="12.75">
      <c r="G276" s="312"/>
    </row>
    <row r="277" ht="12.75">
      <c r="G277" s="312"/>
    </row>
    <row r="278" ht="12.75">
      <c r="G278" s="312"/>
    </row>
    <row r="279" ht="12.75">
      <c r="G279" s="312"/>
    </row>
    <row r="280" ht="12.75">
      <c r="G280" s="312"/>
    </row>
    <row r="281" ht="12.75">
      <c r="G281" s="312"/>
    </row>
    <row r="282" ht="12.75">
      <c r="G282" s="312"/>
    </row>
    <row r="283" ht="12.75">
      <c r="G283" s="312"/>
    </row>
    <row r="284" ht="12.75">
      <c r="G284" s="312"/>
    </row>
    <row r="285" ht="12.75">
      <c r="G285" s="312"/>
    </row>
    <row r="286" ht="12.75">
      <c r="G286" s="312"/>
    </row>
    <row r="287" ht="12.75">
      <c r="G287" s="312"/>
    </row>
    <row r="288" ht="12.75">
      <c r="G288" s="312"/>
    </row>
    <row r="289" ht="12.75">
      <c r="G289" s="312"/>
    </row>
    <row r="290" ht="12.75">
      <c r="G290" s="312"/>
    </row>
    <row r="291" ht="12.75">
      <c r="G291" s="312"/>
    </row>
    <row r="292" ht="12.75">
      <c r="G292" s="312"/>
    </row>
    <row r="293" ht="12.75">
      <c r="G293" s="312"/>
    </row>
    <row r="294" ht="12.75">
      <c r="G294" s="312"/>
    </row>
    <row r="295" ht="12.75">
      <c r="G295" s="312"/>
    </row>
    <row r="296" ht="12.75">
      <c r="G296" s="312"/>
    </row>
    <row r="297" ht="12.75">
      <c r="G297" s="312"/>
    </row>
    <row r="298" ht="12.75">
      <c r="G298" s="312"/>
    </row>
    <row r="299" ht="12.75">
      <c r="G299" s="312"/>
    </row>
    <row r="300" ht="12.75">
      <c r="G300" s="312"/>
    </row>
    <row r="301" ht="12.75">
      <c r="G301" s="312"/>
    </row>
    <row r="302" ht="12.75">
      <c r="G302" s="312"/>
    </row>
    <row r="303" ht="12.75">
      <c r="G303" s="312"/>
    </row>
    <row r="304" ht="12.75">
      <c r="G304" s="312"/>
    </row>
    <row r="305" ht="12.75">
      <c r="G305" s="312"/>
    </row>
    <row r="306" ht="12.75">
      <c r="G306" s="312"/>
    </row>
    <row r="307" ht="12.75">
      <c r="G307" s="312"/>
    </row>
    <row r="308" ht="12.75">
      <c r="G308" s="312"/>
    </row>
    <row r="309" ht="12.75">
      <c r="G309" s="312"/>
    </row>
    <row r="310" ht="12.75">
      <c r="G310" s="312"/>
    </row>
    <row r="311" ht="12.75">
      <c r="G311" s="312"/>
    </row>
    <row r="312" ht="12.75">
      <c r="G312" s="312"/>
    </row>
    <row r="313" ht="12.75">
      <c r="G313" s="312"/>
    </row>
    <row r="314" ht="12.75">
      <c r="G314" s="312"/>
    </row>
    <row r="315" ht="12.75">
      <c r="G315" s="312"/>
    </row>
    <row r="316" ht="12.75">
      <c r="G316" s="312"/>
    </row>
    <row r="317" ht="12.75">
      <c r="G317" s="312"/>
    </row>
    <row r="318" ht="12.75">
      <c r="G318" s="312"/>
    </row>
    <row r="319" ht="12.75">
      <c r="G319" s="312"/>
    </row>
    <row r="320" ht="12.75">
      <c r="G320" s="312"/>
    </row>
    <row r="321" ht="12.75">
      <c r="G321" s="312"/>
    </row>
    <row r="322" ht="12.75">
      <c r="G322" s="312"/>
    </row>
    <row r="323" ht="12.75">
      <c r="G323" s="312"/>
    </row>
    <row r="324" ht="12.75">
      <c r="G324" s="312"/>
    </row>
    <row r="325" ht="12.75">
      <c r="G325" s="312"/>
    </row>
    <row r="326" ht="12.75">
      <c r="G326" s="312"/>
    </row>
    <row r="327" ht="12.75">
      <c r="G327" s="312"/>
    </row>
    <row r="328" ht="12.75">
      <c r="G328" s="312"/>
    </row>
    <row r="329" ht="12.75">
      <c r="G329" s="312"/>
    </row>
    <row r="330" ht="12.75">
      <c r="G330" s="312"/>
    </row>
    <row r="331" ht="12.75">
      <c r="G331" s="312"/>
    </row>
    <row r="332" ht="12.75">
      <c r="G332" s="312"/>
    </row>
    <row r="333" ht="12.75">
      <c r="G333" s="312"/>
    </row>
    <row r="334" ht="12.75">
      <c r="G334" s="312"/>
    </row>
    <row r="335" ht="12.75">
      <c r="G335" s="312"/>
    </row>
    <row r="336" ht="12.75">
      <c r="G336" s="312"/>
    </row>
    <row r="337" ht="12.75">
      <c r="G337" s="312"/>
    </row>
    <row r="338" ht="12.75">
      <c r="G338" s="312"/>
    </row>
    <row r="339" ht="12.75">
      <c r="G339" s="312"/>
    </row>
    <row r="340" ht="12.75">
      <c r="G340" s="312"/>
    </row>
    <row r="341" ht="12.75">
      <c r="G341" s="312"/>
    </row>
    <row r="342" ht="12.75">
      <c r="G342" s="312"/>
    </row>
    <row r="343" ht="12.75">
      <c r="G343" s="312"/>
    </row>
    <row r="344" ht="12.75">
      <c r="G344" s="312"/>
    </row>
    <row r="345" ht="12.75">
      <c r="G345" s="312"/>
    </row>
    <row r="346" ht="12.75">
      <c r="G346" s="312"/>
    </row>
    <row r="347" ht="12.75">
      <c r="G347" s="312"/>
    </row>
    <row r="348" ht="12.75">
      <c r="G348" s="312"/>
    </row>
    <row r="349" ht="12.75">
      <c r="G349" s="312"/>
    </row>
    <row r="350" ht="12.75">
      <c r="G350" s="312"/>
    </row>
    <row r="351" ht="12.75">
      <c r="G351" s="312"/>
    </row>
    <row r="352" ht="12.75">
      <c r="G352" s="312"/>
    </row>
    <row r="353" ht="12.75">
      <c r="G353" s="312"/>
    </row>
    <row r="354" ht="12.75">
      <c r="G354" s="312"/>
    </row>
    <row r="355" ht="12.75">
      <c r="G355" s="312"/>
    </row>
    <row r="356" ht="12.75">
      <c r="G356" s="312"/>
    </row>
    <row r="357" ht="12.75">
      <c r="G357" s="312"/>
    </row>
    <row r="358" ht="12.75">
      <c r="G358" s="312"/>
    </row>
    <row r="359" ht="12.75">
      <c r="G359" s="312"/>
    </row>
    <row r="360" ht="12.75">
      <c r="G360" s="312"/>
    </row>
    <row r="361" ht="12.75">
      <c r="G361" s="312"/>
    </row>
    <row r="362" ht="12.75">
      <c r="G362" s="312"/>
    </row>
    <row r="363" ht="12.75">
      <c r="G363" s="312"/>
    </row>
    <row r="364" ht="12.75">
      <c r="G364" s="312"/>
    </row>
    <row r="365" ht="12.75">
      <c r="G365" s="312"/>
    </row>
    <row r="366" ht="12.75">
      <c r="G366" s="312"/>
    </row>
    <row r="367" ht="12.75">
      <c r="G367" s="312"/>
    </row>
    <row r="368" ht="12.75">
      <c r="G368" s="312"/>
    </row>
    <row r="369" ht="12.75">
      <c r="G369" s="312"/>
    </row>
    <row r="370" ht="12.75">
      <c r="G370" s="312"/>
    </row>
    <row r="371" ht="12.75">
      <c r="G371" s="312"/>
    </row>
    <row r="372" ht="12.75">
      <c r="G372" s="312"/>
    </row>
    <row r="373" ht="12.75">
      <c r="G373" s="312"/>
    </row>
    <row r="374" ht="12.75">
      <c r="G374" s="312"/>
    </row>
    <row r="375" ht="12.75">
      <c r="G375" s="312"/>
    </row>
    <row r="376" ht="12.75">
      <c r="G376" s="312"/>
    </row>
    <row r="377" ht="12.75">
      <c r="G377" s="312"/>
    </row>
    <row r="378" ht="12.75">
      <c r="G378" s="312"/>
    </row>
    <row r="379" ht="12.75">
      <c r="G379" s="312"/>
    </row>
    <row r="380" ht="12.75">
      <c r="G380" s="312"/>
    </row>
    <row r="381" ht="12.75">
      <c r="G381" s="312"/>
    </row>
    <row r="382" ht="12.75">
      <c r="G382" s="312"/>
    </row>
    <row r="383" ht="12.75">
      <c r="G383" s="312"/>
    </row>
    <row r="384" ht="12.75">
      <c r="G384" s="312"/>
    </row>
    <row r="385" ht="12.75">
      <c r="G385" s="312"/>
    </row>
    <row r="386" ht="12.75">
      <c r="G386" s="312"/>
    </row>
    <row r="387" ht="12.75">
      <c r="G387" s="312"/>
    </row>
    <row r="388" ht="12.75">
      <c r="G388" s="312"/>
    </row>
    <row r="389" ht="12.75">
      <c r="G389" s="312"/>
    </row>
    <row r="390" ht="12.75">
      <c r="G390" s="312"/>
    </row>
    <row r="391" ht="12.75">
      <c r="G391" s="312"/>
    </row>
    <row r="392" ht="12.75">
      <c r="G392" s="312"/>
    </row>
    <row r="393" ht="12.75">
      <c r="G393" s="312"/>
    </row>
    <row r="394" ht="12.75">
      <c r="G394" s="312"/>
    </row>
    <row r="395" ht="12.75">
      <c r="G395" s="312"/>
    </row>
    <row r="396" ht="12.75">
      <c r="G396" s="312"/>
    </row>
    <row r="397" ht="12.75">
      <c r="G397" s="312"/>
    </row>
    <row r="398" ht="12.75">
      <c r="G398" s="312"/>
    </row>
    <row r="399" ht="12.75">
      <c r="G399" s="312"/>
    </row>
    <row r="400" ht="12.75">
      <c r="G400" s="312"/>
    </row>
    <row r="401" ht="12.75">
      <c r="G401" s="312"/>
    </row>
    <row r="402" ht="12.75">
      <c r="G402" s="312"/>
    </row>
    <row r="403" ht="12.75">
      <c r="G403" s="312"/>
    </row>
    <row r="404" ht="12.75">
      <c r="G404" s="312"/>
    </row>
    <row r="405" ht="12.75">
      <c r="G405" s="312"/>
    </row>
    <row r="406" ht="12.75">
      <c r="G406" s="312"/>
    </row>
    <row r="407" ht="12.75">
      <c r="G407" s="312"/>
    </row>
    <row r="408" ht="12.75">
      <c r="G408" s="312"/>
    </row>
    <row r="409" ht="12.75">
      <c r="G409" s="312"/>
    </row>
    <row r="410" ht="12.75">
      <c r="G410" s="312"/>
    </row>
    <row r="411" ht="12.75">
      <c r="G411" s="312"/>
    </row>
    <row r="412" ht="12.75">
      <c r="G412" s="312"/>
    </row>
    <row r="413" ht="12.75">
      <c r="G413" s="312"/>
    </row>
    <row r="414" ht="12.75">
      <c r="G414" s="312"/>
    </row>
    <row r="415" ht="12.75">
      <c r="G415" s="312"/>
    </row>
    <row r="416" ht="12.75">
      <c r="G416" s="312"/>
    </row>
    <row r="417" ht="12.75">
      <c r="G417" s="312"/>
    </row>
    <row r="418" ht="12.75">
      <c r="G418" s="312"/>
    </row>
    <row r="419" ht="12.75">
      <c r="G419" s="312"/>
    </row>
    <row r="420" ht="12.75">
      <c r="G420" s="312"/>
    </row>
    <row r="421" ht="12.75">
      <c r="G421" s="312"/>
    </row>
    <row r="422" ht="12.75">
      <c r="G422" s="312"/>
    </row>
    <row r="423" ht="12.75">
      <c r="G423" s="312"/>
    </row>
    <row r="424" ht="12.75">
      <c r="G424" s="312"/>
    </row>
    <row r="425" ht="12.75">
      <c r="G425" s="312"/>
    </row>
    <row r="426" ht="12.75">
      <c r="G426" s="312"/>
    </row>
    <row r="427" ht="12.75">
      <c r="G427" s="312"/>
    </row>
    <row r="428" ht="12.75">
      <c r="G428" s="312"/>
    </row>
    <row r="429" ht="12.75">
      <c r="G429" s="312"/>
    </row>
    <row r="430" ht="12.75">
      <c r="G430" s="312"/>
    </row>
    <row r="431" ht="12.75">
      <c r="G431" s="312"/>
    </row>
    <row r="432" ht="12.75">
      <c r="G432" s="312"/>
    </row>
    <row r="433" ht="12.75">
      <c r="G433" s="312"/>
    </row>
    <row r="434" ht="12.75">
      <c r="G434" s="312"/>
    </row>
    <row r="435" ht="12.75">
      <c r="G435" s="312"/>
    </row>
    <row r="436" ht="12.75">
      <c r="G436" s="312"/>
    </row>
    <row r="437" ht="12.75">
      <c r="G437" s="312"/>
    </row>
    <row r="438" ht="12.75">
      <c r="G438" s="312"/>
    </row>
    <row r="439" ht="12.75">
      <c r="G439" s="312"/>
    </row>
    <row r="440" ht="12.75">
      <c r="G440" s="312"/>
    </row>
    <row r="441" ht="12.75">
      <c r="G441" s="312"/>
    </row>
    <row r="442" ht="12.75">
      <c r="G442" s="312"/>
    </row>
    <row r="443" ht="12.75">
      <c r="G443" s="312"/>
    </row>
    <row r="444" ht="12.75">
      <c r="G444" s="312"/>
    </row>
    <row r="445" ht="12.75">
      <c r="G445" s="312"/>
    </row>
    <row r="446" ht="12.75">
      <c r="G446" s="312"/>
    </row>
    <row r="447" ht="12.75">
      <c r="G447" s="312"/>
    </row>
    <row r="448" ht="12.75">
      <c r="G448" s="312"/>
    </row>
    <row r="449" ht="12.75">
      <c r="G449" s="312"/>
    </row>
    <row r="450" ht="12.75">
      <c r="G450" s="312"/>
    </row>
    <row r="451" ht="12.75">
      <c r="G451" s="312"/>
    </row>
    <row r="452" ht="12.75">
      <c r="G452" s="312"/>
    </row>
    <row r="453" ht="12.75">
      <c r="G453" s="312"/>
    </row>
    <row r="454" ht="12.75">
      <c r="G454" s="312"/>
    </row>
    <row r="455" ht="12.75">
      <c r="G455" s="312"/>
    </row>
    <row r="456" ht="12.75">
      <c r="G456" s="312"/>
    </row>
    <row r="457" ht="12.75">
      <c r="G457" s="312"/>
    </row>
    <row r="458" ht="12.75">
      <c r="G458" s="312"/>
    </row>
    <row r="459" ht="12.75">
      <c r="G459" s="312"/>
    </row>
    <row r="460" ht="12.75">
      <c r="G460" s="312"/>
    </row>
    <row r="461" ht="12.75">
      <c r="G461" s="312"/>
    </row>
    <row r="462" ht="12.75">
      <c r="G462" s="312"/>
    </row>
    <row r="463" ht="12.75">
      <c r="G463" s="312"/>
    </row>
    <row r="464" ht="12.75">
      <c r="G464" s="312"/>
    </row>
    <row r="465" ht="12.75">
      <c r="G465" s="312"/>
    </row>
    <row r="466" ht="12.75">
      <c r="G466" s="312"/>
    </row>
    <row r="467" ht="12.75">
      <c r="G467" s="312"/>
    </row>
    <row r="468" ht="12.75">
      <c r="G468" s="312"/>
    </row>
    <row r="469" ht="12.75">
      <c r="G469" s="312"/>
    </row>
    <row r="470" ht="12.75">
      <c r="G470" s="312"/>
    </row>
    <row r="471" ht="12.75">
      <c r="G471" s="312"/>
    </row>
    <row r="472" ht="12.75">
      <c r="G472" s="312"/>
    </row>
    <row r="473" ht="12.75">
      <c r="G473" s="312"/>
    </row>
    <row r="474" ht="12.75">
      <c r="G474" s="312"/>
    </row>
    <row r="475" ht="12.75">
      <c r="G475" s="312"/>
    </row>
    <row r="476" ht="12.75">
      <c r="G476" s="312"/>
    </row>
    <row r="477" ht="12.75">
      <c r="G477" s="312"/>
    </row>
    <row r="478" ht="12.75">
      <c r="G478" s="312"/>
    </row>
  </sheetData>
  <sheetProtection/>
  <printOptions/>
  <pageMargins left="0.75" right="0.75" top="0.5905511811023623" bottom="0.5905511811023623" header="0" footer="0"/>
  <pageSetup horizontalDpi="600" verticalDpi="600" orientation="portrait" scale="90" r:id="rId1"/>
</worksheet>
</file>

<file path=xl/worksheets/sheet4.xml><?xml version="1.0" encoding="utf-8"?>
<worksheet xmlns="http://schemas.openxmlformats.org/spreadsheetml/2006/main" xmlns:r="http://schemas.openxmlformats.org/officeDocument/2006/relationships">
  <sheetPr>
    <pageSetUpPr fitToPage="1"/>
  </sheetPr>
  <dimension ref="A1:F107"/>
  <sheetViews>
    <sheetView zoomScalePageLayoutView="0" workbookViewId="0" topLeftCell="A1">
      <selection activeCell="A1" sqref="A1:C1"/>
    </sheetView>
  </sheetViews>
  <sheetFormatPr defaultColWidth="11.421875" defaultRowHeight="12.75" outlineLevelRow="1"/>
  <cols>
    <col min="1" max="1" width="50.57421875" style="258" bestFit="1" customWidth="1"/>
    <col min="2" max="2" width="17.00390625" style="291" customWidth="1"/>
    <col min="3" max="3" width="18.421875" style="258" customWidth="1"/>
    <col min="4" max="4" width="10.140625" style="258" bestFit="1" customWidth="1"/>
    <col min="5" max="5" width="13.7109375" style="258" bestFit="1" customWidth="1"/>
    <col min="6" max="6" width="13.8515625" style="258" bestFit="1" customWidth="1"/>
    <col min="7" max="16384" width="11.421875" style="258" customWidth="1"/>
  </cols>
  <sheetData>
    <row r="1" spans="1:3" ht="15">
      <c r="A1" s="475" t="s">
        <v>18</v>
      </c>
      <c r="B1" s="475"/>
      <c r="C1" s="475"/>
    </row>
    <row r="2" spans="1:3" ht="15">
      <c r="A2" s="476" t="s">
        <v>51</v>
      </c>
      <c r="B2" s="475"/>
      <c r="C2" s="475"/>
    </row>
    <row r="3" spans="1:3" ht="15">
      <c r="A3" s="475" t="s">
        <v>170</v>
      </c>
      <c r="B3" s="475"/>
      <c r="C3" s="475"/>
    </row>
    <row r="4" spans="1:3" ht="15.75" thickBot="1">
      <c r="A4" s="477"/>
      <c r="B4" s="477"/>
      <c r="C4" s="477"/>
    </row>
    <row r="5" spans="1:4" ht="38.25" customHeight="1" thickTop="1">
      <c r="A5" s="259" t="s">
        <v>29</v>
      </c>
      <c r="B5" s="260" t="s">
        <v>61</v>
      </c>
      <c r="C5" s="261" t="s">
        <v>25</v>
      </c>
      <c r="D5" s="262" t="s">
        <v>39</v>
      </c>
    </row>
    <row r="6" spans="1:4" ht="15">
      <c r="A6" s="263" t="s">
        <v>19</v>
      </c>
      <c r="B6" s="263" t="e">
        <f>+B7</f>
        <v>#REF!</v>
      </c>
      <c r="C6" s="264" t="e">
        <f>+C7</f>
        <v>#REF!</v>
      </c>
      <c r="D6" s="265" t="e">
        <f>+C6/C105*100</f>
        <v>#REF!</v>
      </c>
    </row>
    <row r="7" spans="1:4" ht="15">
      <c r="A7" s="266" t="s">
        <v>62</v>
      </c>
      <c r="B7" s="266" t="e">
        <f>+#REF!-[0]!AUXBODEGA-[0]!ASISDESPACHOS-[0]!ASISCONTABPPC-[0]!ASISCALLCENTER-ASISICA+HONORAUDI_JURIDIC</f>
        <v>#REF!</v>
      </c>
      <c r="C7" s="267" t="e">
        <f>+B7</f>
        <v>#REF!</v>
      </c>
      <c r="D7" s="268"/>
    </row>
    <row r="8" spans="1:4" ht="15">
      <c r="A8" s="266"/>
      <c r="B8" s="269"/>
      <c r="C8" s="264"/>
      <c r="D8" s="270"/>
    </row>
    <row r="9" spans="1:4" ht="15">
      <c r="A9" s="263" t="s">
        <v>21</v>
      </c>
      <c r="B9" s="264">
        <f>SUM(B10:B23)</f>
        <v>304667803.38</v>
      </c>
      <c r="C9" s="264">
        <f>SUM(C10:C23)</f>
        <v>304667803.38</v>
      </c>
      <c r="D9" s="265" t="e">
        <f>+C9/C105*100</f>
        <v>#REF!</v>
      </c>
    </row>
    <row r="10" spans="1:4" ht="15">
      <c r="A10" s="269" t="s">
        <v>194</v>
      </c>
      <c r="B10" s="232">
        <v>21500000</v>
      </c>
      <c r="C10" s="267">
        <f>+SUM(B10:B10)</f>
        <v>21500000</v>
      </c>
      <c r="D10" s="268" t="e">
        <f>(+C10/C105)*100</f>
        <v>#REF!</v>
      </c>
    </row>
    <row r="11" spans="1:4" ht="15">
      <c r="A11" s="269" t="s">
        <v>42</v>
      </c>
      <c r="B11" s="232">
        <v>5924000</v>
      </c>
      <c r="C11" s="267">
        <f>+SUM(B11:B11)</f>
        <v>5924000</v>
      </c>
      <c r="D11" s="268" t="e">
        <f>+C11/C105*100</f>
        <v>#REF!</v>
      </c>
    </row>
    <row r="12" spans="1:4" ht="15">
      <c r="A12" s="269" t="s">
        <v>43</v>
      </c>
      <c r="B12" s="232">
        <v>15000000</v>
      </c>
      <c r="C12" s="267">
        <f>+SUM(B12:B12)</f>
        <v>15000000</v>
      </c>
      <c r="D12" s="268" t="e">
        <f>+C12/C105*100</f>
        <v>#REF!</v>
      </c>
    </row>
    <row r="13" spans="1:4" ht="15">
      <c r="A13" s="269" t="s">
        <v>22</v>
      </c>
      <c r="B13" s="232">
        <v>16571515</v>
      </c>
      <c r="C13" s="267">
        <f aca="true" t="shared" si="0" ref="C13:C23">+SUM(B13:B13)</f>
        <v>16571515</v>
      </c>
      <c r="D13" s="268" t="e">
        <f>+C13/C105*100</f>
        <v>#REF!</v>
      </c>
    </row>
    <row r="14" spans="1:4" ht="15">
      <c r="A14" s="269" t="s">
        <v>44</v>
      </c>
      <c r="B14" s="232">
        <v>33250000</v>
      </c>
      <c r="C14" s="267">
        <f t="shared" si="0"/>
        <v>33250000</v>
      </c>
      <c r="D14" s="268" t="e">
        <f>+C14/C105*100</f>
        <v>#REF!</v>
      </c>
    </row>
    <row r="15" spans="1:4" ht="15">
      <c r="A15" s="269" t="s">
        <v>23</v>
      </c>
      <c r="B15" s="232">
        <v>30729600</v>
      </c>
      <c r="C15" s="267">
        <f t="shared" si="0"/>
        <v>30729600</v>
      </c>
      <c r="D15" s="268" t="e">
        <f>+C15/C105*100</f>
        <v>#REF!</v>
      </c>
    </row>
    <row r="16" spans="1:4" ht="15">
      <c r="A16" s="269" t="s">
        <v>45</v>
      </c>
      <c r="B16" s="232">
        <v>8900000</v>
      </c>
      <c r="C16" s="267">
        <f t="shared" si="0"/>
        <v>8900000</v>
      </c>
      <c r="D16" s="268" t="e">
        <f>+C16/C105*100</f>
        <v>#REF!</v>
      </c>
    </row>
    <row r="17" spans="1:4" ht="15">
      <c r="A17" s="269" t="s">
        <v>195</v>
      </c>
      <c r="B17" s="232">
        <v>20000000</v>
      </c>
      <c r="C17" s="267">
        <f t="shared" si="0"/>
        <v>20000000</v>
      </c>
      <c r="D17" s="268" t="e">
        <f>+C17/C105*100</f>
        <v>#REF!</v>
      </c>
    </row>
    <row r="18" spans="1:4" ht="15">
      <c r="A18" s="269" t="s">
        <v>24</v>
      </c>
      <c r="B18" s="232">
        <v>42250000</v>
      </c>
      <c r="C18" s="267">
        <f t="shared" si="0"/>
        <v>42250000</v>
      </c>
      <c r="D18" s="268" t="e">
        <f>+C18/C105*100</f>
        <v>#REF!</v>
      </c>
    </row>
    <row r="19" spans="1:4" ht="15">
      <c r="A19" s="269" t="s">
        <v>40</v>
      </c>
      <c r="B19" s="232">
        <v>3032800</v>
      </c>
      <c r="C19" s="267">
        <f t="shared" si="0"/>
        <v>3032800</v>
      </c>
      <c r="D19" s="268" t="e">
        <f>+C19/C105*100</f>
        <v>#REF!</v>
      </c>
    </row>
    <row r="20" spans="1:4" ht="15">
      <c r="A20" s="269" t="s">
        <v>46</v>
      </c>
      <c r="B20" s="232">
        <v>26833000</v>
      </c>
      <c r="C20" s="267">
        <f t="shared" si="0"/>
        <v>26833000</v>
      </c>
      <c r="D20" s="268" t="e">
        <f>+C20/C105*100</f>
        <v>#REF!</v>
      </c>
    </row>
    <row r="21" spans="1:4" ht="15">
      <c r="A21" s="269" t="s">
        <v>47</v>
      </c>
      <c r="B21" s="232">
        <v>8900000</v>
      </c>
      <c r="C21" s="267">
        <f t="shared" si="0"/>
        <v>8900000</v>
      </c>
      <c r="D21" s="268" t="e">
        <f>+C21/C105*100</f>
        <v>#REF!</v>
      </c>
    </row>
    <row r="22" spans="1:4" ht="15">
      <c r="A22" s="269" t="s">
        <v>48</v>
      </c>
      <c r="B22" s="232">
        <v>60000000</v>
      </c>
      <c r="C22" s="267">
        <f t="shared" si="0"/>
        <v>60000000</v>
      </c>
      <c r="D22" s="268" t="e">
        <f>+C22/C105*100</f>
        <v>#REF!</v>
      </c>
    </row>
    <row r="23" spans="1:4" ht="15">
      <c r="A23" s="269" t="s">
        <v>49</v>
      </c>
      <c r="B23" s="232">
        <v>11776888.38</v>
      </c>
      <c r="C23" s="267">
        <f t="shared" si="0"/>
        <v>11776888.38</v>
      </c>
      <c r="D23" s="268" t="e">
        <f>+C23/C105*100</f>
        <v>#REF!</v>
      </c>
    </row>
    <row r="24" spans="1:4" ht="15">
      <c r="A24" s="271" t="s">
        <v>200</v>
      </c>
      <c r="B24" s="272">
        <f>SUM(B10:B23)</f>
        <v>304667803.38</v>
      </c>
      <c r="C24" s="272" t="e">
        <f>+C9+C6</f>
        <v>#REF!</v>
      </c>
      <c r="D24" s="273" t="e">
        <f>+D9+D6</f>
        <v>#REF!</v>
      </c>
    </row>
    <row r="25" spans="1:4" ht="15">
      <c r="A25" s="274"/>
      <c r="B25" s="269"/>
      <c r="C25" s="274"/>
      <c r="D25" s="270"/>
    </row>
    <row r="26" spans="1:5" ht="15">
      <c r="A26" s="271" t="s">
        <v>31</v>
      </c>
      <c r="B26" s="271"/>
      <c r="C26" s="272" t="e">
        <f>SUM(C28:C96)</f>
        <v>#REF!</v>
      </c>
      <c r="D26" s="273" t="e">
        <f>SUM(D28:D101)</f>
        <v>#REF!</v>
      </c>
      <c r="E26" s="275"/>
    </row>
    <row r="27" spans="1:4" ht="15">
      <c r="A27" s="274"/>
      <c r="B27" s="269"/>
      <c r="C27" s="267"/>
      <c r="D27" s="270"/>
    </row>
    <row r="28" spans="1:4" ht="15">
      <c r="A28" s="276" t="s">
        <v>50</v>
      </c>
      <c r="B28" s="277"/>
      <c r="C28" s="264" t="e">
        <f>B29+B33</f>
        <v>#REF!</v>
      </c>
      <c r="D28" s="268" t="e">
        <f>+C28/C105*100</f>
        <v>#REF!</v>
      </c>
    </row>
    <row r="29" spans="1:4" ht="15">
      <c r="A29" s="276" t="s">
        <v>63</v>
      </c>
      <c r="B29" s="234">
        <v>145800000</v>
      </c>
      <c r="C29" s="264"/>
      <c r="D29" s="268"/>
    </row>
    <row r="30" spans="1:6" ht="15">
      <c r="A30" s="279" t="s">
        <v>64</v>
      </c>
      <c r="B30" s="280" t="e">
        <f>+#REF!</f>
        <v>#REF!</v>
      </c>
      <c r="C30" s="264"/>
      <c r="D30" s="268"/>
      <c r="E30" s="281"/>
      <c r="F30" s="281"/>
    </row>
    <row r="31" spans="1:6" ht="15">
      <c r="A31" s="279" t="s">
        <v>65</v>
      </c>
      <c r="B31" s="280" t="e">
        <f>+#REF!</f>
        <v>#REF!</v>
      </c>
      <c r="C31" s="264"/>
      <c r="D31" s="268"/>
      <c r="F31" s="281"/>
    </row>
    <row r="32" spans="1:6" ht="15">
      <c r="A32" s="279" t="s">
        <v>66</v>
      </c>
      <c r="B32" s="280" t="e">
        <f>+#REF!+#REF!</f>
        <v>#REF!</v>
      </c>
      <c r="C32" s="264"/>
      <c r="D32" s="268"/>
      <c r="F32" s="281"/>
    </row>
    <row r="33" spans="1:6" ht="15">
      <c r="A33" s="276" t="s">
        <v>67</v>
      </c>
      <c r="B33" s="278" t="e">
        <f>SUM(B30:B32)</f>
        <v>#REF!</v>
      </c>
      <c r="C33" s="264"/>
      <c r="D33" s="268"/>
      <c r="F33" s="281"/>
    </row>
    <row r="34" spans="1:6" ht="15">
      <c r="A34" s="279"/>
      <c r="B34" s="278"/>
      <c r="C34" s="264"/>
      <c r="D34" s="268"/>
      <c r="F34" s="281"/>
    </row>
    <row r="35" spans="1:6" ht="15">
      <c r="A35" s="282" t="s">
        <v>54</v>
      </c>
      <c r="B35" s="277"/>
      <c r="C35" s="264" t="e">
        <f>B36+B43</f>
        <v>#REF!</v>
      </c>
      <c r="D35" s="268" t="e">
        <f>+C35/C105*100</f>
        <v>#REF!</v>
      </c>
      <c r="F35" s="281"/>
    </row>
    <row r="36" spans="1:6" ht="15">
      <c r="A36" s="282" t="s">
        <v>63</v>
      </c>
      <c r="B36" s="234">
        <v>3826475436</v>
      </c>
      <c r="C36" s="264"/>
      <c r="D36" s="268"/>
      <c r="F36" s="281"/>
    </row>
    <row r="37" spans="1:6" ht="15">
      <c r="A37" s="283" t="s">
        <v>68</v>
      </c>
      <c r="B37" s="280" t="e">
        <f>+#REF!+#REF!</f>
        <v>#REF!</v>
      </c>
      <c r="C37" s="264"/>
      <c r="D37" s="268"/>
      <c r="F37" s="281"/>
    </row>
    <row r="38" spans="1:6" ht="13.5" customHeight="1">
      <c r="A38" s="283" t="s">
        <v>64</v>
      </c>
      <c r="B38" s="280" t="e">
        <f>+#REF!</f>
        <v>#REF!</v>
      </c>
      <c r="C38" s="264"/>
      <c r="D38" s="268"/>
      <c r="F38" s="281"/>
    </row>
    <row r="39" spans="1:6" ht="13.5" customHeight="1">
      <c r="A39" s="283" t="s">
        <v>69</v>
      </c>
      <c r="B39" s="280" t="e">
        <f>+#REF!/3</f>
        <v>#REF!</v>
      </c>
      <c r="C39" s="264"/>
      <c r="D39" s="268"/>
      <c r="F39" s="281"/>
    </row>
    <row r="40" spans="1:6" ht="13.5" customHeight="1">
      <c r="A40" s="283" t="s">
        <v>70</v>
      </c>
      <c r="B40" s="280" t="e">
        <f>+#REF!</f>
        <v>#REF!</v>
      </c>
      <c r="C40" s="264"/>
      <c r="D40" s="268"/>
      <c r="F40" s="281"/>
    </row>
    <row r="41" spans="1:6" ht="13.5" customHeight="1">
      <c r="A41" s="283" t="s">
        <v>71</v>
      </c>
      <c r="B41" s="280" t="e">
        <f>+#REF!</f>
        <v>#REF!</v>
      </c>
      <c r="C41" s="264"/>
      <c r="D41" s="268"/>
      <c r="F41" s="281"/>
    </row>
    <row r="42" spans="1:6" ht="13.5" customHeight="1">
      <c r="A42" s="283" t="s">
        <v>72</v>
      </c>
      <c r="B42" s="280" t="e">
        <f>+#REF!</f>
        <v>#REF!</v>
      </c>
      <c r="C42" s="264"/>
      <c r="D42" s="268"/>
      <c r="F42" s="281"/>
    </row>
    <row r="43" spans="1:6" ht="13.5" customHeight="1">
      <c r="A43" s="282" t="s">
        <v>67</v>
      </c>
      <c r="B43" s="278" t="e">
        <f>SUM(B37:B42)</f>
        <v>#REF!</v>
      </c>
      <c r="C43" s="264"/>
      <c r="D43" s="268"/>
      <c r="F43" s="281"/>
    </row>
    <row r="44" spans="1:6" ht="13.5" customHeight="1">
      <c r="A44" s="283"/>
      <c r="B44" s="278"/>
      <c r="C44" s="264"/>
      <c r="D44" s="268"/>
      <c r="F44" s="281"/>
    </row>
    <row r="45" spans="1:6" ht="13.5" customHeight="1">
      <c r="A45" s="276" t="s">
        <v>32</v>
      </c>
      <c r="B45" s="269"/>
      <c r="C45" s="264" t="e">
        <f>B46+B52</f>
        <v>#REF!</v>
      </c>
      <c r="D45" s="284" t="e">
        <f>+C45/C105*100</f>
        <v>#REF!</v>
      </c>
      <c r="F45" s="281"/>
    </row>
    <row r="46" spans="1:6" ht="13.5" customHeight="1">
      <c r="A46" s="282" t="s">
        <v>63</v>
      </c>
      <c r="B46" s="285">
        <f>B47+B48+B49+B50</f>
        <v>372000000</v>
      </c>
      <c r="C46" s="264"/>
      <c r="D46" s="284"/>
      <c r="F46" s="281"/>
    </row>
    <row r="47" spans="1:6" ht="13.5" customHeight="1">
      <c r="A47" s="279" t="s">
        <v>73</v>
      </c>
      <c r="B47" s="233">
        <v>50000000</v>
      </c>
      <c r="C47" s="264"/>
      <c r="D47" s="270"/>
      <c r="F47" s="281"/>
    </row>
    <row r="48" spans="1:4" ht="15">
      <c r="A48" s="279" t="s">
        <v>74</v>
      </c>
      <c r="B48" s="233">
        <v>86000000</v>
      </c>
      <c r="C48" s="264"/>
      <c r="D48" s="270"/>
    </row>
    <row r="49" spans="1:4" ht="15">
      <c r="A49" s="279" t="s">
        <v>191</v>
      </c>
      <c r="B49" s="233">
        <v>236000000</v>
      </c>
      <c r="C49" s="264"/>
      <c r="D49" s="270"/>
    </row>
    <row r="50" spans="1:4" ht="15" hidden="1" outlineLevel="1">
      <c r="A50" s="283" t="s">
        <v>75</v>
      </c>
      <c r="B50" s="277">
        <v>0</v>
      </c>
      <c r="C50" s="264"/>
      <c r="D50" s="270"/>
    </row>
    <row r="51" spans="1:4" ht="15" collapsed="1">
      <c r="A51" s="283" t="s">
        <v>64</v>
      </c>
      <c r="B51" s="280" t="e">
        <f>+#REF!</f>
        <v>#REF!</v>
      </c>
      <c r="C51" s="264"/>
      <c r="D51" s="270"/>
    </row>
    <row r="52" spans="1:4" ht="15">
      <c r="A52" s="276" t="s">
        <v>67</v>
      </c>
      <c r="B52" s="278" t="e">
        <f>B51</f>
        <v>#REF!</v>
      </c>
      <c r="C52" s="264"/>
      <c r="D52" s="270"/>
    </row>
    <row r="53" spans="1:4" ht="15">
      <c r="A53" s="276"/>
      <c r="B53" s="277"/>
      <c r="C53" s="264"/>
      <c r="D53" s="270"/>
    </row>
    <row r="54" spans="1:4" ht="15">
      <c r="A54" s="282" t="s">
        <v>243</v>
      </c>
      <c r="B54" s="277"/>
      <c r="C54" s="264" t="e">
        <f>B55+B63</f>
        <v>#REF!</v>
      </c>
      <c r="D54" s="268" t="e">
        <f>+C54/C105*100</f>
        <v>#REF!</v>
      </c>
    </row>
    <row r="55" spans="1:4" ht="16.5" customHeight="1">
      <c r="A55" s="282" t="s">
        <v>63</v>
      </c>
      <c r="B55" s="278">
        <f>SUM(B56:B59)</f>
        <v>769208400</v>
      </c>
      <c r="C55" s="264"/>
      <c r="D55" s="268"/>
    </row>
    <row r="56" spans="1:4" ht="13.5" customHeight="1">
      <c r="A56" s="283" t="s">
        <v>34</v>
      </c>
      <c r="B56" s="233">
        <v>170000000</v>
      </c>
      <c r="C56" s="267"/>
      <c r="D56" s="270"/>
    </row>
    <row r="57" spans="1:4" ht="15">
      <c r="A57" s="283" t="s">
        <v>168</v>
      </c>
      <c r="B57" s="233">
        <v>260000000</v>
      </c>
      <c r="C57" s="267"/>
      <c r="D57" s="270"/>
    </row>
    <row r="58" spans="1:4" ht="15">
      <c r="A58" s="283" t="s">
        <v>246</v>
      </c>
      <c r="B58" s="233">
        <v>289208400</v>
      </c>
      <c r="C58" s="267"/>
      <c r="D58" s="270"/>
    </row>
    <row r="59" spans="1:4" ht="15">
      <c r="A59" s="283" t="s">
        <v>175</v>
      </c>
      <c r="B59" s="233">
        <v>50000000</v>
      </c>
      <c r="C59" s="267"/>
      <c r="D59" s="270"/>
    </row>
    <row r="60" spans="1:4" ht="15">
      <c r="A60" s="283" t="s">
        <v>64</v>
      </c>
      <c r="B60" s="280" t="e">
        <f>+#REF!</f>
        <v>#REF!</v>
      </c>
      <c r="C60" s="267"/>
      <c r="D60" s="270"/>
    </row>
    <row r="61" spans="1:4" ht="15">
      <c r="A61" s="283" t="s">
        <v>247</v>
      </c>
      <c r="B61" s="277" t="e">
        <f>+#REF!</f>
        <v>#REF!</v>
      </c>
      <c r="C61" s="267"/>
      <c r="D61" s="270"/>
    </row>
    <row r="62" spans="1:4" ht="15">
      <c r="A62" s="283" t="s">
        <v>190</v>
      </c>
      <c r="B62" s="277" t="e">
        <f>+#REF!</f>
        <v>#REF!</v>
      </c>
      <c r="C62" s="267"/>
      <c r="D62" s="270"/>
    </row>
    <row r="63" spans="1:4" ht="15">
      <c r="A63" s="276" t="s">
        <v>67</v>
      </c>
      <c r="B63" s="278" t="e">
        <f>SUM(B60:B62)</f>
        <v>#REF!</v>
      </c>
      <c r="C63" s="267"/>
      <c r="D63" s="270"/>
    </row>
    <row r="64" spans="1:4" ht="15">
      <c r="A64" s="276"/>
      <c r="B64" s="277"/>
      <c r="C64" s="267"/>
      <c r="D64" s="270"/>
    </row>
    <row r="65" spans="1:4" ht="15">
      <c r="A65" s="282" t="s">
        <v>26</v>
      </c>
      <c r="B65" s="277"/>
      <c r="C65" s="264" t="e">
        <f>B66+B70</f>
        <v>#REF!</v>
      </c>
      <c r="D65" s="268" t="e">
        <f>+C65/C105*100</f>
        <v>#REF!</v>
      </c>
    </row>
    <row r="66" spans="1:4" ht="15">
      <c r="A66" s="282" t="s">
        <v>63</v>
      </c>
      <c r="B66" s="234">
        <v>340000000</v>
      </c>
      <c r="C66" s="264"/>
      <c r="D66" s="268"/>
    </row>
    <row r="67" spans="1:4" ht="15">
      <c r="A67" s="283" t="s">
        <v>64</v>
      </c>
      <c r="B67" s="280" t="e">
        <f>+#REF!</f>
        <v>#REF!</v>
      </c>
      <c r="C67" s="264"/>
      <c r="D67" s="268"/>
    </row>
    <row r="68" spans="1:4" ht="15">
      <c r="A68" s="283" t="s">
        <v>176</v>
      </c>
      <c r="B68" s="280" t="e">
        <f>+#REF!</f>
        <v>#REF!</v>
      </c>
      <c r="C68" s="264"/>
      <c r="D68" s="268"/>
    </row>
    <row r="69" spans="1:4" ht="17.25" customHeight="1">
      <c r="A69" s="283" t="s">
        <v>177</v>
      </c>
      <c r="B69" s="280" t="e">
        <f>+#REF!</f>
        <v>#REF!</v>
      </c>
      <c r="C69" s="264"/>
      <c r="D69" s="268"/>
    </row>
    <row r="70" spans="1:4" ht="15">
      <c r="A70" s="276" t="s">
        <v>67</v>
      </c>
      <c r="B70" s="278" t="e">
        <f>SUM(B67:B69)</f>
        <v>#REF!</v>
      </c>
      <c r="C70" s="264"/>
      <c r="D70" s="268"/>
    </row>
    <row r="71" spans="1:4" ht="15">
      <c r="A71" s="276"/>
      <c r="B71" s="277"/>
      <c r="C71" s="264"/>
      <c r="D71" s="268"/>
    </row>
    <row r="72" spans="1:4" ht="15">
      <c r="A72" s="282" t="s">
        <v>178</v>
      </c>
      <c r="B72" s="277"/>
      <c r="C72" s="264" t="e">
        <f>+B74+B75+B76+B77+B78</f>
        <v>#REF!</v>
      </c>
      <c r="D72" s="268" t="e">
        <f>+C72/C105*100</f>
        <v>#REF!</v>
      </c>
    </row>
    <row r="73" spans="1:4" ht="15">
      <c r="A73" s="282" t="s">
        <v>63</v>
      </c>
      <c r="B73" s="278">
        <f>SUM(B74:B77)</f>
        <v>472548000</v>
      </c>
      <c r="C73" s="264"/>
      <c r="D73" s="268"/>
    </row>
    <row r="74" spans="1:4" ht="15">
      <c r="A74" s="283" t="s">
        <v>181</v>
      </c>
      <c r="B74" s="233">
        <v>258000000</v>
      </c>
      <c r="C74" s="267"/>
      <c r="D74" s="270"/>
    </row>
    <row r="75" spans="1:4" ht="15">
      <c r="A75" s="283" t="s">
        <v>182</v>
      </c>
      <c r="B75" s="233">
        <v>74148000</v>
      </c>
      <c r="C75" s="267"/>
      <c r="D75" s="270"/>
    </row>
    <row r="76" spans="1:4" ht="15">
      <c r="A76" s="283" t="s">
        <v>57</v>
      </c>
      <c r="B76" s="233">
        <v>130400000</v>
      </c>
      <c r="C76" s="267"/>
      <c r="D76" s="270"/>
    </row>
    <row r="77" spans="1:4" ht="15">
      <c r="A77" s="283" t="s">
        <v>179</v>
      </c>
      <c r="B77" s="233">
        <v>10000000</v>
      </c>
      <c r="C77" s="267"/>
      <c r="D77" s="270"/>
    </row>
    <row r="78" spans="1:4" ht="15">
      <c r="A78" s="283" t="s">
        <v>180</v>
      </c>
      <c r="B78" s="280" t="e">
        <f>+#REF!</f>
        <v>#REF!</v>
      </c>
      <c r="C78" s="267"/>
      <c r="D78" s="270"/>
    </row>
    <row r="79" spans="1:4" ht="15">
      <c r="A79" s="276" t="s">
        <v>67</v>
      </c>
      <c r="B79" s="278" t="e">
        <f>B78</f>
        <v>#REF!</v>
      </c>
      <c r="C79" s="267"/>
      <c r="D79" s="270"/>
    </row>
    <row r="80" spans="1:4" ht="15">
      <c r="A80" s="276"/>
      <c r="B80" s="277"/>
      <c r="C80" s="267"/>
      <c r="D80" s="270"/>
    </row>
    <row r="81" spans="1:4" ht="15">
      <c r="A81" s="282" t="s">
        <v>27</v>
      </c>
      <c r="B81" s="277"/>
      <c r="C81" s="264" t="e">
        <f>B82+B91</f>
        <v>#REF!</v>
      </c>
      <c r="D81" s="268" t="e">
        <f>+C81/C105*100</f>
        <v>#REF!</v>
      </c>
    </row>
    <row r="82" spans="1:4" ht="15">
      <c r="A82" s="282" t="s">
        <v>63</v>
      </c>
      <c r="B82" s="278">
        <f>SUM(B83:B87)</f>
        <v>452000000</v>
      </c>
      <c r="C82" s="264"/>
      <c r="D82" s="268"/>
    </row>
    <row r="83" spans="1:4" ht="15">
      <c r="A83" s="283" t="s">
        <v>183</v>
      </c>
      <c r="B83" s="233">
        <v>220000000</v>
      </c>
      <c r="C83" s="267"/>
      <c r="D83" s="270"/>
    </row>
    <row r="84" spans="1:4" ht="15">
      <c r="A84" s="283" t="s">
        <v>59</v>
      </c>
      <c r="B84" s="233">
        <v>55000000</v>
      </c>
      <c r="C84" s="267"/>
      <c r="D84" s="270"/>
    </row>
    <row r="85" spans="1:4" ht="15">
      <c r="A85" s="283" t="s">
        <v>60</v>
      </c>
      <c r="B85" s="233">
        <v>30000000</v>
      </c>
      <c r="C85" s="267"/>
      <c r="D85" s="270"/>
    </row>
    <row r="86" spans="1:4" ht="15">
      <c r="A86" s="283" t="s">
        <v>184</v>
      </c>
      <c r="B86" s="233">
        <v>117000000</v>
      </c>
      <c r="C86" s="267"/>
      <c r="D86" s="270"/>
    </row>
    <row r="87" spans="1:4" ht="15">
      <c r="A87" s="283" t="s">
        <v>189</v>
      </c>
      <c r="B87" s="233">
        <v>30000000</v>
      </c>
      <c r="C87" s="267"/>
      <c r="D87" s="270"/>
    </row>
    <row r="88" spans="1:4" ht="15">
      <c r="A88" s="283" t="s">
        <v>185</v>
      </c>
      <c r="B88" s="277" t="e">
        <f>+#REF!/3*2</f>
        <v>#REF!</v>
      </c>
      <c r="C88" s="267"/>
      <c r="D88" s="270"/>
    </row>
    <row r="89" spans="1:4" ht="15">
      <c r="A89" s="283" t="s">
        <v>186</v>
      </c>
      <c r="B89" s="277" t="e">
        <f>+#REF!</f>
        <v>#REF!</v>
      </c>
      <c r="C89" s="267"/>
      <c r="D89" s="270"/>
    </row>
    <row r="90" spans="1:4" ht="15">
      <c r="A90" s="283" t="s">
        <v>227</v>
      </c>
      <c r="B90" s="277" t="e">
        <f>+ASISICA</f>
        <v>#REF!</v>
      </c>
      <c r="C90" s="267"/>
      <c r="D90" s="270"/>
    </row>
    <row r="91" spans="1:4" ht="15">
      <c r="A91" s="276" t="s">
        <v>67</v>
      </c>
      <c r="B91" s="278" t="e">
        <f>SUM(B88:B90)</f>
        <v>#REF!</v>
      </c>
      <c r="C91" s="267"/>
      <c r="D91" s="270"/>
    </row>
    <row r="92" spans="1:4" ht="15">
      <c r="A92" s="276"/>
      <c r="B92" s="277"/>
      <c r="C92" s="267"/>
      <c r="D92" s="270"/>
    </row>
    <row r="93" spans="1:4" ht="15">
      <c r="A93" s="276"/>
      <c r="B93" s="277"/>
      <c r="C93" s="264"/>
      <c r="D93" s="268"/>
    </row>
    <row r="94" spans="1:4" ht="15">
      <c r="A94" s="282" t="s">
        <v>188</v>
      </c>
      <c r="B94" s="277"/>
      <c r="C94" s="264" t="e">
        <f>B95+B97</f>
        <v>#REF!</v>
      </c>
      <c r="D94" s="268" t="e">
        <f>+C94/C105*100</f>
        <v>#REF!</v>
      </c>
    </row>
    <row r="95" spans="1:4" ht="15">
      <c r="A95" s="282" t="s">
        <v>63</v>
      </c>
      <c r="B95" s="234">
        <v>73000000</v>
      </c>
      <c r="C95" s="264"/>
      <c r="D95" s="268"/>
    </row>
    <row r="96" spans="1:4" ht="15">
      <c r="A96" s="283" t="s">
        <v>20</v>
      </c>
      <c r="B96" s="277" t="e">
        <f>+#REF!</f>
        <v>#REF!</v>
      </c>
      <c r="C96" s="264"/>
      <c r="D96" s="268"/>
    </row>
    <row r="97" spans="1:4" ht="15">
      <c r="A97" s="276" t="s">
        <v>67</v>
      </c>
      <c r="B97" s="278" t="e">
        <f>+B96</f>
        <v>#REF!</v>
      </c>
      <c r="C97" s="264"/>
      <c r="D97" s="268"/>
    </row>
    <row r="98" spans="1:4" ht="15">
      <c r="A98" s="276"/>
      <c r="B98" s="277"/>
      <c r="C98" s="264"/>
      <c r="D98" s="268"/>
    </row>
    <row r="99" spans="1:4" ht="15">
      <c r="A99" s="282" t="s">
        <v>171</v>
      </c>
      <c r="B99" s="234" t="e">
        <f>SUM(#REF!)*10%</f>
        <v>#REF!</v>
      </c>
      <c r="C99" s="264" t="e">
        <f>+B99</f>
        <v>#REF!</v>
      </c>
      <c r="D99" s="268" t="e">
        <f>+C99/C105*100</f>
        <v>#REF!</v>
      </c>
    </row>
    <row r="100" spans="1:4" ht="15">
      <c r="A100" s="282"/>
      <c r="B100" s="278"/>
      <c r="C100" s="264"/>
      <c r="D100" s="268"/>
    </row>
    <row r="101" spans="1:4" ht="16.5" customHeight="1">
      <c r="A101" s="282" t="s">
        <v>239</v>
      </c>
      <c r="B101" s="278"/>
      <c r="C101" s="264" t="e">
        <f>+B102+B103</f>
        <v>#REF!</v>
      </c>
      <c r="D101" s="268" t="e">
        <f>+C101/C105*100</f>
        <v>#REF!</v>
      </c>
    </row>
    <row r="102" spans="1:4" ht="15">
      <c r="A102" s="283" t="s">
        <v>226</v>
      </c>
      <c r="B102" s="277" t="e">
        <f>+#REF!</f>
        <v>#REF!</v>
      </c>
      <c r="C102" s="267"/>
      <c r="D102" s="270"/>
    </row>
    <row r="103" spans="1:4" ht="15">
      <c r="A103" s="283" t="s">
        <v>217</v>
      </c>
      <c r="B103" s="277" t="e">
        <f>+#REF!</f>
        <v>#REF!</v>
      </c>
      <c r="C103" s="267"/>
      <c r="D103" s="270"/>
    </row>
    <row r="104" spans="1:4" ht="15">
      <c r="A104" s="286"/>
      <c r="B104" s="269"/>
      <c r="C104" s="274"/>
      <c r="D104" s="270"/>
    </row>
    <row r="105" spans="1:4" ht="15">
      <c r="A105" s="271" t="s">
        <v>38</v>
      </c>
      <c r="B105" s="272"/>
      <c r="C105" s="272" t="e">
        <f>+C99+C26+C24+C101</f>
        <v>#REF!</v>
      </c>
      <c r="D105" s="268" t="e">
        <f>+D26+D24</f>
        <v>#REF!</v>
      </c>
    </row>
    <row r="106" spans="1:4" ht="8.25" customHeight="1" thickBot="1">
      <c r="A106" s="287"/>
      <c r="B106" s="288"/>
      <c r="C106" s="289"/>
      <c r="D106" s="290"/>
    </row>
    <row r="107" ht="15.75" thickTop="1">
      <c r="C107" s="292" t="e">
        <f>+C105-#REF!</f>
        <v>#REF!</v>
      </c>
    </row>
  </sheetData>
  <sheetProtection/>
  <mergeCells count="4">
    <mergeCell ref="A1:C1"/>
    <mergeCell ref="A2:C2"/>
    <mergeCell ref="A3:C3"/>
    <mergeCell ref="A4:C4"/>
  </mergeCells>
  <printOptions horizontalCentered="1"/>
  <pageMargins left="0.1968503937007874" right="0.1968503937007874" top="0.1968503937007874" bottom="0.1968503937007874" header="0.17" footer="0"/>
  <pageSetup fitToHeight="0" fitToWidth="1" horizontalDpi="1200" verticalDpi="1200" orientation="portrait" paperSize="120" r:id="rId3"/>
  <legacyDrawing r:id="rId2"/>
</worksheet>
</file>

<file path=xl/worksheets/sheet5.xml><?xml version="1.0" encoding="utf-8"?>
<worksheet xmlns="http://schemas.openxmlformats.org/spreadsheetml/2006/main" xmlns:r="http://schemas.openxmlformats.org/officeDocument/2006/relationships">
  <dimension ref="A1:K185"/>
  <sheetViews>
    <sheetView zoomScalePageLayoutView="0" workbookViewId="0" topLeftCell="A1">
      <selection activeCell="A1" sqref="A1"/>
    </sheetView>
  </sheetViews>
  <sheetFormatPr defaultColWidth="11.421875" defaultRowHeight="12.75"/>
  <cols>
    <col min="1" max="1" width="75.421875" style="0" bestFit="1" customWidth="1"/>
    <col min="3" max="3" width="13.140625" style="0" bestFit="1" customWidth="1"/>
    <col min="4" max="4" width="13.140625" style="0" customWidth="1"/>
    <col min="5" max="6" width="12.00390625" style="0" bestFit="1" customWidth="1"/>
    <col min="7" max="7" width="19.00390625" style="0" bestFit="1" customWidth="1"/>
    <col min="8" max="8" width="13.140625" style="0" bestFit="1" customWidth="1"/>
    <col min="9" max="9" width="14.28125" style="0" bestFit="1" customWidth="1"/>
    <col min="10" max="10" width="16.140625" style="0" bestFit="1" customWidth="1"/>
  </cols>
  <sheetData>
    <row r="1" spans="1:10" ht="12.75" customHeight="1">
      <c r="A1" s="296" t="s">
        <v>139</v>
      </c>
      <c r="B1" s="296"/>
      <c r="C1" s="296"/>
      <c r="D1" s="296"/>
      <c r="E1" s="296"/>
      <c r="F1" s="296"/>
      <c r="G1" s="296"/>
      <c r="H1" s="296"/>
      <c r="I1" s="296"/>
      <c r="J1" s="296"/>
    </row>
    <row r="2" spans="1:10" ht="12.75" customHeight="1">
      <c r="A2" s="296" t="s">
        <v>219</v>
      </c>
      <c r="B2" s="296"/>
      <c r="C2" s="296"/>
      <c r="D2" s="296"/>
      <c r="E2" s="296"/>
      <c r="F2" s="296"/>
      <c r="G2" s="296"/>
      <c r="H2" s="296"/>
      <c r="I2" s="296"/>
      <c r="J2" s="296"/>
    </row>
    <row r="3" spans="1:11" ht="13.5" customHeight="1" thickBot="1">
      <c r="A3" s="55"/>
      <c r="B3" s="56"/>
      <c r="C3" s="56"/>
      <c r="D3" s="56"/>
      <c r="E3" s="56"/>
      <c r="F3" s="56"/>
      <c r="G3" s="56"/>
      <c r="H3" s="56"/>
      <c r="I3" s="56"/>
      <c r="J3" s="56"/>
      <c r="K3" s="54"/>
    </row>
    <row r="4" spans="1:11" ht="15" thickBot="1">
      <c r="A4" s="201" t="s">
        <v>118</v>
      </c>
      <c r="B4" s="40" t="s">
        <v>119</v>
      </c>
      <c r="C4" s="186" t="s">
        <v>120</v>
      </c>
      <c r="D4" s="235" t="s">
        <v>120</v>
      </c>
      <c r="E4" s="293" t="s">
        <v>244</v>
      </c>
      <c r="F4" s="293"/>
      <c r="G4" s="299" t="s">
        <v>218</v>
      </c>
      <c r="H4" s="40" t="s">
        <v>220</v>
      </c>
      <c r="I4" s="40" t="s">
        <v>98</v>
      </c>
      <c r="J4" s="297" t="s">
        <v>141</v>
      </c>
      <c r="K4" s="58"/>
    </row>
    <row r="5" spans="1:11" ht="15.75" thickBot="1">
      <c r="A5" s="55"/>
      <c r="B5" s="59"/>
      <c r="C5" s="108" t="s">
        <v>199</v>
      </c>
      <c r="D5" s="236" t="s">
        <v>94</v>
      </c>
      <c r="E5" s="294">
        <v>0.1</v>
      </c>
      <c r="F5" s="294">
        <v>0.06</v>
      </c>
      <c r="G5" s="41">
        <v>0.00966</v>
      </c>
      <c r="H5" s="220">
        <v>0.27022</v>
      </c>
      <c r="I5" s="298" t="s">
        <v>221</v>
      </c>
      <c r="J5" s="60" t="s">
        <v>93</v>
      </c>
      <c r="K5" s="58"/>
    </row>
    <row r="6" spans="1:11" ht="15.75" thickBot="1">
      <c r="A6" s="61" t="s">
        <v>122</v>
      </c>
      <c r="B6" s="62" t="e">
        <f>+B7+B8+B9+B10+B11</f>
        <v>#REF!</v>
      </c>
      <c r="C6" s="217">
        <f aca="true" t="shared" si="0" ref="C6:J6">SUM(C7:C11)</f>
        <v>19000000</v>
      </c>
      <c r="D6" s="295"/>
      <c r="E6" s="218" t="e">
        <f t="shared" si="0"/>
        <v>#REF!</v>
      </c>
      <c r="F6" s="218"/>
      <c r="G6" s="62" t="e">
        <f t="shared" si="0"/>
        <v>#REF!</v>
      </c>
      <c r="H6" s="63">
        <f t="shared" si="0"/>
        <v>580432.56</v>
      </c>
      <c r="I6" s="64" t="e">
        <f t="shared" si="0"/>
        <v>#REF!</v>
      </c>
      <c r="J6" s="62" t="e">
        <f t="shared" si="0"/>
        <v>#REF!</v>
      </c>
      <c r="K6" s="58"/>
    </row>
    <row r="7" spans="1:11" ht="15">
      <c r="A7" s="205" t="e">
        <f>+#REF!</f>
        <v>#REF!</v>
      </c>
      <c r="B7" s="211" t="e">
        <f>+#REF!</f>
        <v>#REF!</v>
      </c>
      <c r="C7" s="188">
        <v>3800000</v>
      </c>
      <c r="D7" s="188" t="e">
        <f>+C7*B7</f>
        <v>#REF!</v>
      </c>
      <c r="E7" s="67" t="e">
        <f>+D7*E5</f>
        <v>#REF!</v>
      </c>
      <c r="F7" s="67"/>
      <c r="G7" s="68" t="e">
        <f>+D7*$G$5</f>
        <v>#REF!</v>
      </c>
      <c r="H7" s="69">
        <f>537000*$H$5</f>
        <v>145108.14</v>
      </c>
      <c r="I7" s="69" t="e">
        <f>+D7-E7-F7-G7-H7</f>
        <v>#REF!</v>
      </c>
      <c r="J7" s="68" t="e">
        <f>+I7*12</f>
        <v>#REF!</v>
      </c>
      <c r="K7" s="72"/>
    </row>
    <row r="8" spans="1:11" ht="15">
      <c r="A8" s="206" t="e">
        <f>+#REF!</f>
        <v>#REF!</v>
      </c>
      <c r="B8" s="212" t="e">
        <f>+#REF!</f>
        <v>#REF!</v>
      </c>
      <c r="C8" s="188">
        <v>3800000</v>
      </c>
      <c r="D8" s="188" t="e">
        <f aca="true" t="shared" si="1" ref="D8:D39">+C8*B8</f>
        <v>#REF!</v>
      </c>
      <c r="E8" s="67" t="e">
        <f>+D8*10%</f>
        <v>#REF!</v>
      </c>
      <c r="F8" s="67"/>
      <c r="G8" s="68" t="e">
        <f>+D8*$G$5</f>
        <v>#REF!</v>
      </c>
      <c r="H8" s="69">
        <f>537000*$H$5</f>
        <v>145108.14</v>
      </c>
      <c r="I8" s="69" t="e">
        <f>+D8-E8-F8-G8-H8</f>
        <v>#REF!</v>
      </c>
      <c r="J8" s="68" t="e">
        <f>+I8*12</f>
        <v>#REF!</v>
      </c>
      <c r="K8" s="72"/>
    </row>
    <row r="9" spans="1:11" ht="15">
      <c r="A9" s="206" t="e">
        <f>+#REF!</f>
        <v>#REF!</v>
      </c>
      <c r="B9" s="212" t="e">
        <f>+#REF!</f>
        <v>#REF!</v>
      </c>
      <c r="C9" s="188">
        <v>3800000</v>
      </c>
      <c r="D9" s="188" t="e">
        <f t="shared" si="1"/>
        <v>#REF!</v>
      </c>
      <c r="E9" s="67" t="e">
        <f>+D9*10%</f>
        <v>#REF!</v>
      </c>
      <c r="F9" s="67"/>
      <c r="G9" s="68" t="e">
        <f>+D9*$G$5</f>
        <v>#REF!</v>
      </c>
      <c r="H9" s="69">
        <f>537000*$H$5</f>
        <v>145108.14</v>
      </c>
      <c r="I9" s="69" t="e">
        <f>+D9-E9-F9-G9-H9</f>
        <v>#REF!</v>
      </c>
      <c r="J9" s="68" t="e">
        <f>+I9*12</f>
        <v>#REF!</v>
      </c>
      <c r="K9" s="72"/>
    </row>
    <row r="10" spans="1:11" ht="15">
      <c r="A10" s="206" t="e">
        <f>+#REF!</f>
        <v>#REF!</v>
      </c>
      <c r="B10" s="212" t="e">
        <f>+#REF!</f>
        <v>#REF!</v>
      </c>
      <c r="C10" s="188">
        <v>3800000</v>
      </c>
      <c r="D10" s="188" t="e">
        <f t="shared" si="1"/>
        <v>#REF!</v>
      </c>
      <c r="E10" s="67" t="e">
        <f>+D10*10%</f>
        <v>#REF!</v>
      </c>
      <c r="F10" s="67"/>
      <c r="G10" s="68" t="e">
        <f>+D10*$G$5</f>
        <v>#REF!</v>
      </c>
      <c r="H10" s="69">
        <v>0</v>
      </c>
      <c r="I10" s="69" t="e">
        <f>+D10-E10-F10-G10-H10</f>
        <v>#REF!</v>
      </c>
      <c r="J10" s="68" t="e">
        <f>+I10*12</f>
        <v>#REF!</v>
      </c>
      <c r="K10" s="72"/>
    </row>
    <row r="11" spans="1:10" ht="15.75" thickBot="1">
      <c r="A11" s="204" t="e">
        <f>+#REF!</f>
        <v>#REF!</v>
      </c>
      <c r="B11" s="215" t="e">
        <f>+#REF!</f>
        <v>#REF!</v>
      </c>
      <c r="C11" s="195">
        <v>3800000</v>
      </c>
      <c r="D11" s="195" t="e">
        <f t="shared" si="1"/>
        <v>#REF!</v>
      </c>
      <c r="E11" s="67" t="e">
        <f>+D11*10%</f>
        <v>#REF!</v>
      </c>
      <c r="F11" s="67"/>
      <c r="G11" s="68" t="e">
        <f>+D11*$G$5</f>
        <v>#REF!</v>
      </c>
      <c r="H11" s="69">
        <f>537000*$H$5</f>
        <v>145108.14</v>
      </c>
      <c r="I11" s="69" t="e">
        <f>+D11-E11-F11-G11-H11</f>
        <v>#REF!</v>
      </c>
      <c r="J11" s="68" t="e">
        <f>+I11*12</f>
        <v>#REF!</v>
      </c>
    </row>
    <row r="12" spans="1:10" ht="15.75" thickBot="1">
      <c r="A12" s="73" t="s">
        <v>124</v>
      </c>
      <c r="B12" s="62" t="e">
        <f aca="true" t="shared" si="2" ref="B12:I12">SUM(B13:B18)</f>
        <v>#REF!</v>
      </c>
      <c r="C12" s="197">
        <f t="shared" si="2"/>
        <v>16000000</v>
      </c>
      <c r="D12" s="197"/>
      <c r="E12" s="62" t="e">
        <f t="shared" si="2"/>
        <v>#REF!</v>
      </c>
      <c r="F12" s="62"/>
      <c r="G12" s="62" t="e">
        <f>SUM(G13:G18)</f>
        <v>#REF!</v>
      </c>
      <c r="H12" s="74">
        <f t="shared" si="2"/>
        <v>870648.8400000001</v>
      </c>
      <c r="I12" s="75" t="e">
        <f t="shared" si="2"/>
        <v>#REF!</v>
      </c>
      <c r="J12" s="62" t="e">
        <f>SUM(J13:J18)</f>
        <v>#REF!</v>
      </c>
    </row>
    <row r="13" spans="1:11" ht="15">
      <c r="A13" s="205" t="e">
        <f>+#REF!</f>
        <v>#REF!</v>
      </c>
      <c r="B13" s="211" t="e">
        <f>+#REF!</f>
        <v>#REF!</v>
      </c>
      <c r="C13" s="188">
        <v>3000000</v>
      </c>
      <c r="D13" s="188" t="e">
        <f t="shared" si="1"/>
        <v>#REF!</v>
      </c>
      <c r="E13" s="67" t="e">
        <f aca="true" t="shared" si="3" ref="E13:E18">+D13*10%</f>
        <v>#REF!</v>
      </c>
      <c r="F13" s="67"/>
      <c r="G13" s="68" t="e">
        <f aca="true" t="shared" si="4" ref="G13:G18">+D13*$G$5</f>
        <v>#REF!</v>
      </c>
      <c r="H13" s="69">
        <f aca="true" t="shared" si="5" ref="H13:H18">537000*$H$5</f>
        <v>145108.14</v>
      </c>
      <c r="I13" s="69" t="e">
        <f aca="true" t="shared" si="6" ref="I13:I18">+D13-E13-F13-G13-H13</f>
        <v>#REF!</v>
      </c>
      <c r="J13" s="68" t="e">
        <f aca="true" t="shared" si="7" ref="J13:J18">+I13*12</f>
        <v>#REF!</v>
      </c>
      <c r="K13" s="72"/>
    </row>
    <row r="14" spans="1:11" ht="15">
      <c r="A14" s="206" t="e">
        <f>+#REF!</f>
        <v>#REF!</v>
      </c>
      <c r="B14" s="212" t="e">
        <f>+#REF!</f>
        <v>#REF!</v>
      </c>
      <c r="C14" s="188">
        <v>3000000</v>
      </c>
      <c r="D14" s="188" t="e">
        <f t="shared" si="1"/>
        <v>#REF!</v>
      </c>
      <c r="E14" s="67" t="e">
        <f t="shared" si="3"/>
        <v>#REF!</v>
      </c>
      <c r="F14" s="67"/>
      <c r="G14" s="68" t="e">
        <f t="shared" si="4"/>
        <v>#REF!</v>
      </c>
      <c r="H14" s="69">
        <f t="shared" si="5"/>
        <v>145108.14</v>
      </c>
      <c r="I14" s="69" t="e">
        <f t="shared" si="6"/>
        <v>#REF!</v>
      </c>
      <c r="J14" s="68" t="e">
        <f t="shared" si="7"/>
        <v>#REF!</v>
      </c>
      <c r="K14" s="72"/>
    </row>
    <row r="15" spans="1:11" ht="15">
      <c r="A15" s="206" t="e">
        <f>+#REF!</f>
        <v>#REF!</v>
      </c>
      <c r="B15" s="212" t="e">
        <f>+#REF!</f>
        <v>#REF!</v>
      </c>
      <c r="C15" s="188">
        <v>2500000</v>
      </c>
      <c r="D15" s="188" t="e">
        <f t="shared" si="1"/>
        <v>#REF!</v>
      </c>
      <c r="E15" s="67" t="e">
        <f t="shared" si="3"/>
        <v>#REF!</v>
      </c>
      <c r="F15" s="67"/>
      <c r="G15" s="68" t="e">
        <f t="shared" si="4"/>
        <v>#REF!</v>
      </c>
      <c r="H15" s="69">
        <f t="shared" si="5"/>
        <v>145108.14</v>
      </c>
      <c r="I15" s="69" t="e">
        <f t="shared" si="6"/>
        <v>#REF!</v>
      </c>
      <c r="J15" s="68" t="e">
        <f t="shared" si="7"/>
        <v>#REF!</v>
      </c>
      <c r="K15" s="72"/>
    </row>
    <row r="16" spans="1:11" ht="15">
      <c r="A16" s="205" t="e">
        <f>+#REF!</f>
        <v>#REF!</v>
      </c>
      <c r="B16" s="211" t="e">
        <f>+#REF!</f>
        <v>#REF!</v>
      </c>
      <c r="C16" s="188">
        <v>2500000</v>
      </c>
      <c r="D16" s="188" t="e">
        <f t="shared" si="1"/>
        <v>#REF!</v>
      </c>
      <c r="E16" s="67" t="e">
        <f t="shared" si="3"/>
        <v>#REF!</v>
      </c>
      <c r="F16" s="67"/>
      <c r="G16" s="68" t="e">
        <f t="shared" si="4"/>
        <v>#REF!</v>
      </c>
      <c r="H16" s="69">
        <f t="shared" si="5"/>
        <v>145108.14</v>
      </c>
      <c r="I16" s="69" t="e">
        <f t="shared" si="6"/>
        <v>#REF!</v>
      </c>
      <c r="J16" s="68" t="e">
        <f t="shared" si="7"/>
        <v>#REF!</v>
      </c>
      <c r="K16" s="72"/>
    </row>
    <row r="17" spans="1:11" ht="15">
      <c r="A17" s="205" t="e">
        <f>+#REF!</f>
        <v>#REF!</v>
      </c>
      <c r="B17" s="211" t="e">
        <f>+#REF!</f>
        <v>#REF!</v>
      </c>
      <c r="C17" s="188">
        <v>2500000</v>
      </c>
      <c r="D17" s="188" t="e">
        <f t="shared" si="1"/>
        <v>#REF!</v>
      </c>
      <c r="E17" s="67" t="e">
        <f t="shared" si="3"/>
        <v>#REF!</v>
      </c>
      <c r="F17" s="67"/>
      <c r="G17" s="68" t="e">
        <f t="shared" si="4"/>
        <v>#REF!</v>
      </c>
      <c r="H17" s="69">
        <f t="shared" si="5"/>
        <v>145108.14</v>
      </c>
      <c r="I17" s="69" t="e">
        <f t="shared" si="6"/>
        <v>#REF!</v>
      </c>
      <c r="J17" s="68" t="e">
        <f t="shared" si="7"/>
        <v>#REF!</v>
      </c>
      <c r="K17" s="72"/>
    </row>
    <row r="18" spans="1:11" ht="15.75" thickBot="1">
      <c r="A18" s="200" t="e">
        <f>+#REF!</f>
        <v>#REF!</v>
      </c>
      <c r="B18" s="213" t="e">
        <f>+#REF!</f>
        <v>#REF!</v>
      </c>
      <c r="C18" s="188">
        <v>2500000</v>
      </c>
      <c r="D18" s="188" t="e">
        <f t="shared" si="1"/>
        <v>#REF!</v>
      </c>
      <c r="E18" s="67" t="e">
        <f t="shared" si="3"/>
        <v>#REF!</v>
      </c>
      <c r="F18" s="67"/>
      <c r="G18" s="68" t="e">
        <f t="shared" si="4"/>
        <v>#REF!</v>
      </c>
      <c r="H18" s="69">
        <f t="shared" si="5"/>
        <v>145108.14</v>
      </c>
      <c r="I18" s="69" t="e">
        <f t="shared" si="6"/>
        <v>#REF!</v>
      </c>
      <c r="J18" s="68" t="e">
        <f t="shared" si="7"/>
        <v>#REF!</v>
      </c>
      <c r="K18" s="72"/>
    </row>
    <row r="19" spans="1:11" ht="15.75" thickBot="1">
      <c r="A19" s="73" t="s">
        <v>127</v>
      </c>
      <c r="B19" s="62" t="e">
        <f>+B20+B21+B23+B25</f>
        <v>#REF!</v>
      </c>
      <c r="C19" s="218">
        <f aca="true" t="shared" si="8" ref="C19:J19">SUM(C20:C25)</f>
        <v>7580000</v>
      </c>
      <c r="D19" s="218"/>
      <c r="E19" s="218" t="e">
        <f t="shared" si="8"/>
        <v>#REF!</v>
      </c>
      <c r="F19" s="218"/>
      <c r="G19" s="62" t="e">
        <f t="shared" si="8"/>
        <v>#REF!</v>
      </c>
      <c r="H19" s="74">
        <f t="shared" si="8"/>
        <v>580432.56</v>
      </c>
      <c r="I19" s="75" t="e">
        <f t="shared" si="8"/>
        <v>#REF!</v>
      </c>
      <c r="J19" s="62" t="e">
        <f t="shared" si="8"/>
        <v>#REF!</v>
      </c>
      <c r="K19" s="72"/>
    </row>
    <row r="20" spans="1:11" ht="15">
      <c r="A20" s="207" t="e">
        <f>+#REF!</f>
        <v>#REF!</v>
      </c>
      <c r="B20" s="214" t="e">
        <f>+#REF!</f>
        <v>#REF!</v>
      </c>
      <c r="C20" s="189">
        <v>1800000</v>
      </c>
      <c r="D20" s="188" t="e">
        <f t="shared" si="1"/>
        <v>#REF!</v>
      </c>
      <c r="E20" s="67" t="e">
        <f>+D20*10%</f>
        <v>#REF!</v>
      </c>
      <c r="F20" s="67"/>
      <c r="G20" s="68"/>
      <c r="H20" s="69">
        <f>537000*$H$5</f>
        <v>145108.14</v>
      </c>
      <c r="I20" s="69" t="e">
        <f aca="true" t="shared" si="9" ref="I20:I25">+D20-E20-F20-G20-H20</f>
        <v>#REF!</v>
      </c>
      <c r="J20" s="68" t="e">
        <f aca="true" t="shared" si="10" ref="J20:J25">+I20*12</f>
        <v>#REF!</v>
      </c>
      <c r="K20" s="72"/>
    </row>
    <row r="21" spans="1:11" ht="15">
      <c r="A21" s="205" t="e">
        <f>+#REF!</f>
        <v>#REF!</v>
      </c>
      <c r="B21" s="211" t="e">
        <f>+#REF!</f>
        <v>#REF!</v>
      </c>
      <c r="C21" s="188">
        <v>1800000</v>
      </c>
      <c r="D21" s="188" t="e">
        <f t="shared" si="1"/>
        <v>#REF!</v>
      </c>
      <c r="E21" s="67" t="e">
        <f>+D21*10%</f>
        <v>#REF!</v>
      </c>
      <c r="F21" s="67"/>
      <c r="G21" s="68" t="e">
        <f>+D21*$G$5</f>
        <v>#REF!</v>
      </c>
      <c r="H21" s="69">
        <f>537000*$H$5</f>
        <v>145108.14</v>
      </c>
      <c r="I21" s="69" t="e">
        <f t="shared" si="9"/>
        <v>#REF!</v>
      </c>
      <c r="J21" s="68" t="e">
        <f t="shared" si="10"/>
        <v>#REF!</v>
      </c>
      <c r="K21" s="72"/>
    </row>
    <row r="22" spans="1:11" ht="15">
      <c r="A22" s="205" t="e">
        <f>+#REF!</f>
        <v>#REF!</v>
      </c>
      <c r="B22" s="211" t="e">
        <f>+#REF!</f>
        <v>#REF!</v>
      </c>
      <c r="C22" s="188">
        <v>400000</v>
      </c>
      <c r="D22" s="188" t="e">
        <f t="shared" si="1"/>
        <v>#REF!</v>
      </c>
      <c r="E22" s="67">
        <v>0</v>
      </c>
      <c r="F22" s="67"/>
      <c r="G22" s="68">
        <v>0</v>
      </c>
      <c r="H22" s="69">
        <v>0</v>
      </c>
      <c r="I22" s="69" t="e">
        <f t="shared" si="9"/>
        <v>#REF!</v>
      </c>
      <c r="J22" s="68" t="e">
        <f t="shared" si="10"/>
        <v>#REF!</v>
      </c>
      <c r="K22" s="72"/>
    </row>
    <row r="23" spans="1:11" ht="15">
      <c r="A23" s="205" t="e">
        <f>+#REF!</f>
        <v>#REF!</v>
      </c>
      <c r="B23" s="211" t="e">
        <f>+#REF!</f>
        <v>#REF!</v>
      </c>
      <c r="C23" s="188">
        <v>1380000</v>
      </c>
      <c r="D23" s="188" t="e">
        <f t="shared" si="1"/>
        <v>#REF!</v>
      </c>
      <c r="E23" s="67" t="e">
        <f>+D23*10%</f>
        <v>#REF!</v>
      </c>
      <c r="F23" s="67"/>
      <c r="G23" s="68" t="e">
        <f>+D23*$G$5</f>
        <v>#REF!</v>
      </c>
      <c r="H23" s="69">
        <f>537000*$H$5</f>
        <v>145108.14</v>
      </c>
      <c r="I23" s="69" t="e">
        <f t="shared" si="9"/>
        <v>#REF!</v>
      </c>
      <c r="J23" s="68" t="e">
        <f t="shared" si="10"/>
        <v>#REF!</v>
      </c>
      <c r="K23" s="72"/>
    </row>
    <row r="24" spans="1:11" ht="15">
      <c r="A24" s="200" t="e">
        <f>+#REF!</f>
        <v>#REF!</v>
      </c>
      <c r="B24" s="213" t="e">
        <f>+#REF!</f>
        <v>#REF!</v>
      </c>
      <c r="C24" s="188">
        <v>500000</v>
      </c>
      <c r="D24" s="188" t="e">
        <f t="shared" si="1"/>
        <v>#REF!</v>
      </c>
      <c r="E24" s="67">
        <v>0</v>
      </c>
      <c r="F24" s="67"/>
      <c r="G24" s="68">
        <v>0</v>
      </c>
      <c r="H24" s="69">
        <v>0</v>
      </c>
      <c r="I24" s="69" t="e">
        <f t="shared" si="9"/>
        <v>#REF!</v>
      </c>
      <c r="J24" s="68" t="e">
        <f t="shared" si="10"/>
        <v>#REF!</v>
      </c>
      <c r="K24" s="72"/>
    </row>
    <row r="25" spans="1:11" ht="15.75" thickBot="1">
      <c r="A25" s="204" t="e">
        <f>+#REF!</f>
        <v>#REF!</v>
      </c>
      <c r="B25" s="215" t="e">
        <f>+#REF!</f>
        <v>#REF!</v>
      </c>
      <c r="C25" s="190">
        <v>1700000</v>
      </c>
      <c r="D25" s="188" t="e">
        <f t="shared" si="1"/>
        <v>#REF!</v>
      </c>
      <c r="E25" s="67" t="e">
        <f>+D25*10%</f>
        <v>#REF!</v>
      </c>
      <c r="F25" s="67"/>
      <c r="G25" s="68" t="e">
        <f>+D25*$G$5</f>
        <v>#REF!</v>
      </c>
      <c r="H25" s="69">
        <f>537000*$H$5</f>
        <v>145108.14</v>
      </c>
      <c r="I25" s="69" t="e">
        <f t="shared" si="9"/>
        <v>#REF!</v>
      </c>
      <c r="J25" s="68" t="e">
        <f t="shared" si="10"/>
        <v>#REF!</v>
      </c>
      <c r="K25" s="72"/>
    </row>
    <row r="26" spans="1:11" ht="15.75" thickBot="1">
      <c r="A26" s="73" t="s">
        <v>131</v>
      </c>
      <c r="B26" s="62" t="e">
        <f aca="true" t="shared" si="11" ref="B26:I26">SUM(B27:B39)</f>
        <v>#REF!</v>
      </c>
      <c r="C26" s="218">
        <f t="shared" si="11"/>
        <v>12700000</v>
      </c>
      <c r="D26" s="218"/>
      <c r="E26" s="218" t="e">
        <f t="shared" si="11"/>
        <v>#REF!</v>
      </c>
      <c r="F26" s="218"/>
      <c r="G26" s="62" t="e">
        <f>SUM(G27:G39)</f>
        <v>#REF!</v>
      </c>
      <c r="H26" s="74">
        <f t="shared" si="11"/>
        <v>1886405.8200000008</v>
      </c>
      <c r="I26" s="74" t="e">
        <f t="shared" si="11"/>
        <v>#REF!</v>
      </c>
      <c r="J26" s="62" t="e">
        <f>SUM(J27:J39)</f>
        <v>#REF!</v>
      </c>
      <c r="K26" s="72"/>
    </row>
    <row r="27" spans="1:11" ht="15.75" thickBot="1">
      <c r="A27" s="208" t="e">
        <f>+#REF!</f>
        <v>#REF!</v>
      </c>
      <c r="B27" s="216" t="e">
        <f>+#REF!</f>
        <v>#REF!</v>
      </c>
      <c r="C27" s="191">
        <v>2000000</v>
      </c>
      <c r="D27" s="191" t="e">
        <f t="shared" si="1"/>
        <v>#REF!</v>
      </c>
      <c r="E27" s="77" t="e">
        <f aca="true" t="shared" si="12" ref="E27:E39">+D27*10%</f>
        <v>#REF!</v>
      </c>
      <c r="F27" s="77"/>
      <c r="G27" s="76" t="e">
        <f aca="true" t="shared" si="13" ref="G27:G39">+D27*$G$5</f>
        <v>#REF!</v>
      </c>
      <c r="H27" s="77">
        <f aca="true" t="shared" si="14" ref="H27:H39">537000*$H$5</f>
        <v>145108.14</v>
      </c>
      <c r="I27" s="77" t="e">
        <f aca="true" t="shared" si="15" ref="I27:I38">+D27-E27-F27-G27-H27</f>
        <v>#REF!</v>
      </c>
      <c r="J27" s="68" t="e">
        <f aca="true" t="shared" si="16" ref="J27:J39">+I27*12</f>
        <v>#REF!</v>
      </c>
      <c r="K27" s="72"/>
    </row>
    <row r="28" spans="1:11" ht="15">
      <c r="A28" s="206" t="e">
        <f>+#REF!</f>
        <v>#REF!</v>
      </c>
      <c r="B28" s="212" t="e">
        <f>+#REF!</f>
        <v>#REF!</v>
      </c>
      <c r="C28" s="189">
        <v>1300000</v>
      </c>
      <c r="D28" s="189" t="e">
        <f t="shared" si="1"/>
        <v>#REF!</v>
      </c>
      <c r="E28" s="79" t="e">
        <f t="shared" si="12"/>
        <v>#REF!</v>
      </c>
      <c r="F28" s="79"/>
      <c r="G28" s="221" t="e">
        <f t="shared" si="13"/>
        <v>#REF!</v>
      </c>
      <c r="H28" s="79">
        <f t="shared" si="14"/>
        <v>145108.14</v>
      </c>
      <c r="I28" s="79" t="e">
        <f t="shared" si="15"/>
        <v>#REF!</v>
      </c>
      <c r="J28" s="70" t="e">
        <f t="shared" si="16"/>
        <v>#REF!</v>
      </c>
      <c r="K28" s="72"/>
    </row>
    <row r="29" spans="1:11" ht="15">
      <c r="A29" s="205" t="e">
        <f>+#REF!</f>
        <v>#REF!</v>
      </c>
      <c r="B29" s="211" t="e">
        <f>+#REF!</f>
        <v>#REF!</v>
      </c>
      <c r="C29" s="188">
        <v>1300000</v>
      </c>
      <c r="D29" s="188" t="e">
        <f t="shared" si="1"/>
        <v>#REF!</v>
      </c>
      <c r="E29" s="67" t="e">
        <f t="shared" si="12"/>
        <v>#REF!</v>
      </c>
      <c r="F29" s="67"/>
      <c r="G29" s="222" t="e">
        <f t="shared" si="13"/>
        <v>#REF!</v>
      </c>
      <c r="H29" s="67">
        <f t="shared" si="14"/>
        <v>145108.14</v>
      </c>
      <c r="I29" s="67" t="e">
        <f t="shared" si="15"/>
        <v>#REF!</v>
      </c>
      <c r="J29" s="68" t="e">
        <f t="shared" si="16"/>
        <v>#REF!</v>
      </c>
      <c r="K29" s="72"/>
    </row>
    <row r="30" spans="1:11" ht="15.75" thickBot="1">
      <c r="A30" s="204" t="e">
        <f>+#REF!</f>
        <v>#REF!</v>
      </c>
      <c r="B30" s="215" t="e">
        <f>+#REF!</f>
        <v>#REF!</v>
      </c>
      <c r="C30" s="190">
        <v>1300000</v>
      </c>
      <c r="D30" s="190" t="e">
        <f t="shared" si="1"/>
        <v>#REF!</v>
      </c>
      <c r="E30" s="81" t="e">
        <f t="shared" si="12"/>
        <v>#REF!</v>
      </c>
      <c r="F30" s="81"/>
      <c r="G30" s="223" t="e">
        <f t="shared" si="13"/>
        <v>#REF!</v>
      </c>
      <c r="H30" s="81">
        <f t="shared" si="14"/>
        <v>145108.14</v>
      </c>
      <c r="I30" s="81" t="e">
        <f t="shared" si="15"/>
        <v>#REF!</v>
      </c>
      <c r="J30" s="71" t="e">
        <f t="shared" si="16"/>
        <v>#REF!</v>
      </c>
      <c r="K30" s="72"/>
    </row>
    <row r="31" spans="1:11" ht="15">
      <c r="A31" s="205" t="e">
        <f>+#REF!</f>
        <v>#REF!</v>
      </c>
      <c r="B31" s="211" t="e">
        <f>+#REF!</f>
        <v>#REF!</v>
      </c>
      <c r="C31" s="188">
        <v>900000</v>
      </c>
      <c r="D31" s="188" t="e">
        <f t="shared" si="1"/>
        <v>#REF!</v>
      </c>
      <c r="E31" s="67" t="e">
        <f t="shared" si="12"/>
        <v>#REF!</v>
      </c>
      <c r="F31" s="67"/>
      <c r="G31" s="222" t="e">
        <f t="shared" si="13"/>
        <v>#REF!</v>
      </c>
      <c r="H31" s="67">
        <f t="shared" si="14"/>
        <v>145108.14</v>
      </c>
      <c r="I31" s="67" t="e">
        <f t="shared" si="15"/>
        <v>#REF!</v>
      </c>
      <c r="J31" s="68" t="e">
        <f t="shared" si="16"/>
        <v>#REF!</v>
      </c>
      <c r="K31" s="72"/>
    </row>
    <row r="32" spans="1:11" ht="15">
      <c r="A32" s="205" t="e">
        <f>+#REF!</f>
        <v>#REF!</v>
      </c>
      <c r="B32" s="211" t="e">
        <f>+#REF!</f>
        <v>#REF!</v>
      </c>
      <c r="C32" s="188">
        <v>900000</v>
      </c>
      <c r="D32" s="188" t="e">
        <f t="shared" si="1"/>
        <v>#REF!</v>
      </c>
      <c r="E32" s="67" t="e">
        <f t="shared" si="12"/>
        <v>#REF!</v>
      </c>
      <c r="F32" s="67"/>
      <c r="G32" s="222" t="e">
        <f t="shared" si="13"/>
        <v>#REF!</v>
      </c>
      <c r="H32" s="67">
        <f t="shared" si="14"/>
        <v>145108.14</v>
      </c>
      <c r="I32" s="67" t="e">
        <f t="shared" si="15"/>
        <v>#REF!</v>
      </c>
      <c r="J32" s="68" t="e">
        <f t="shared" si="16"/>
        <v>#REF!</v>
      </c>
      <c r="K32" s="72"/>
    </row>
    <row r="33" spans="1:11" ht="15">
      <c r="A33" s="205" t="e">
        <f>+#REF!</f>
        <v>#REF!</v>
      </c>
      <c r="B33" s="211" t="e">
        <f>+#REF!</f>
        <v>#REF!</v>
      </c>
      <c r="C33" s="188">
        <v>900000</v>
      </c>
      <c r="D33" s="188" t="e">
        <f t="shared" si="1"/>
        <v>#REF!</v>
      </c>
      <c r="E33" s="67" t="e">
        <f t="shared" si="12"/>
        <v>#REF!</v>
      </c>
      <c r="F33" s="67"/>
      <c r="G33" s="222" t="e">
        <f t="shared" si="13"/>
        <v>#REF!</v>
      </c>
      <c r="H33" s="67">
        <f t="shared" si="14"/>
        <v>145108.14</v>
      </c>
      <c r="I33" s="67" t="e">
        <f t="shared" si="15"/>
        <v>#REF!</v>
      </c>
      <c r="J33" s="68" t="e">
        <f t="shared" si="16"/>
        <v>#REF!</v>
      </c>
      <c r="K33" s="72"/>
    </row>
    <row r="34" spans="1:11" ht="15">
      <c r="A34" s="205" t="e">
        <f>+#REF!</f>
        <v>#REF!</v>
      </c>
      <c r="B34" s="211" t="e">
        <f>+#REF!</f>
        <v>#REF!</v>
      </c>
      <c r="C34" s="188">
        <v>900000</v>
      </c>
      <c r="D34" s="188" t="e">
        <f t="shared" si="1"/>
        <v>#REF!</v>
      </c>
      <c r="E34" s="67" t="e">
        <f t="shared" si="12"/>
        <v>#REF!</v>
      </c>
      <c r="F34" s="67"/>
      <c r="G34" s="222" t="e">
        <f t="shared" si="13"/>
        <v>#REF!</v>
      </c>
      <c r="H34" s="67">
        <f t="shared" si="14"/>
        <v>145108.14</v>
      </c>
      <c r="I34" s="67" t="e">
        <f t="shared" si="15"/>
        <v>#REF!</v>
      </c>
      <c r="J34" s="68" t="e">
        <f t="shared" si="16"/>
        <v>#REF!</v>
      </c>
      <c r="K34" s="72"/>
    </row>
    <row r="35" spans="1:11" ht="15">
      <c r="A35" s="205" t="e">
        <f>+#REF!</f>
        <v>#REF!</v>
      </c>
      <c r="B35" s="211" t="e">
        <f>+#REF!</f>
        <v>#REF!</v>
      </c>
      <c r="C35" s="188">
        <v>700000</v>
      </c>
      <c r="D35" s="188" t="e">
        <f t="shared" si="1"/>
        <v>#REF!</v>
      </c>
      <c r="E35" s="67" t="e">
        <f t="shared" si="12"/>
        <v>#REF!</v>
      </c>
      <c r="F35" s="67"/>
      <c r="G35" s="222" t="e">
        <f t="shared" si="13"/>
        <v>#REF!</v>
      </c>
      <c r="H35" s="67">
        <f t="shared" si="14"/>
        <v>145108.14</v>
      </c>
      <c r="I35" s="67" t="e">
        <f t="shared" si="15"/>
        <v>#REF!</v>
      </c>
      <c r="J35" s="68" t="e">
        <f t="shared" si="16"/>
        <v>#REF!</v>
      </c>
      <c r="K35" s="72"/>
    </row>
    <row r="36" spans="1:11" ht="15">
      <c r="A36" s="205" t="e">
        <f>+#REF!</f>
        <v>#REF!</v>
      </c>
      <c r="B36" s="211" t="e">
        <f>+#REF!</f>
        <v>#REF!</v>
      </c>
      <c r="C36" s="188">
        <v>700000</v>
      </c>
      <c r="D36" s="188" t="e">
        <f t="shared" si="1"/>
        <v>#REF!</v>
      </c>
      <c r="E36" s="67" t="e">
        <f t="shared" si="12"/>
        <v>#REF!</v>
      </c>
      <c r="F36" s="67"/>
      <c r="G36" s="222" t="e">
        <f t="shared" si="13"/>
        <v>#REF!</v>
      </c>
      <c r="H36" s="67">
        <f t="shared" si="14"/>
        <v>145108.14</v>
      </c>
      <c r="I36" s="67" t="e">
        <f t="shared" si="15"/>
        <v>#REF!</v>
      </c>
      <c r="J36" s="68" t="e">
        <f t="shared" si="16"/>
        <v>#REF!</v>
      </c>
      <c r="K36" s="72"/>
    </row>
    <row r="37" spans="1:11" ht="15.75" thickBot="1">
      <c r="A37" s="204" t="e">
        <f>+#REF!</f>
        <v>#REF!</v>
      </c>
      <c r="B37" s="215" t="e">
        <f>+#REF!</f>
        <v>#REF!</v>
      </c>
      <c r="C37" s="190">
        <v>700000</v>
      </c>
      <c r="D37" s="190" t="e">
        <f t="shared" si="1"/>
        <v>#REF!</v>
      </c>
      <c r="E37" s="81" t="e">
        <f t="shared" si="12"/>
        <v>#REF!</v>
      </c>
      <c r="F37" s="81"/>
      <c r="G37" s="223" t="e">
        <f t="shared" si="13"/>
        <v>#REF!</v>
      </c>
      <c r="H37" s="81">
        <f t="shared" si="14"/>
        <v>145108.14</v>
      </c>
      <c r="I37" s="81" t="e">
        <f t="shared" si="15"/>
        <v>#REF!</v>
      </c>
      <c r="J37" s="71" t="e">
        <f t="shared" si="16"/>
        <v>#REF!</v>
      </c>
      <c r="K37" s="72"/>
    </row>
    <row r="38" spans="1:11" ht="15">
      <c r="A38" s="205" t="e">
        <f>+#REF!</f>
        <v>#REF!</v>
      </c>
      <c r="B38" s="211" t="e">
        <f>+#REF!</f>
        <v>#REF!</v>
      </c>
      <c r="C38" s="188">
        <v>550000</v>
      </c>
      <c r="D38" s="188" t="e">
        <f t="shared" si="1"/>
        <v>#REF!</v>
      </c>
      <c r="E38" s="67" t="e">
        <f t="shared" si="12"/>
        <v>#REF!</v>
      </c>
      <c r="F38" s="67"/>
      <c r="G38" s="222" t="e">
        <f t="shared" si="13"/>
        <v>#REF!</v>
      </c>
      <c r="H38" s="67">
        <f t="shared" si="14"/>
        <v>145108.14</v>
      </c>
      <c r="I38" s="67" t="e">
        <f t="shared" si="15"/>
        <v>#REF!</v>
      </c>
      <c r="J38" s="68" t="e">
        <f t="shared" si="16"/>
        <v>#REF!</v>
      </c>
      <c r="K38" s="72"/>
    </row>
    <row r="39" spans="1:11" ht="15.75" thickBot="1">
      <c r="A39" s="184" t="e">
        <f>+#REF!</f>
        <v>#REF!</v>
      </c>
      <c r="B39" s="199" t="e">
        <f>+#REF!</f>
        <v>#REF!</v>
      </c>
      <c r="C39" s="190">
        <v>550000</v>
      </c>
      <c r="D39" s="188" t="e">
        <f t="shared" si="1"/>
        <v>#REF!</v>
      </c>
      <c r="E39" s="67" t="e">
        <f t="shared" si="12"/>
        <v>#REF!</v>
      </c>
      <c r="F39" s="67"/>
      <c r="G39" s="68" t="e">
        <f t="shared" si="13"/>
        <v>#REF!</v>
      </c>
      <c r="H39" s="69">
        <f t="shared" si="14"/>
        <v>145108.14</v>
      </c>
      <c r="I39" s="69" t="e">
        <f>+D39-E39-G39-H39</f>
        <v>#REF!</v>
      </c>
      <c r="J39" s="68" t="e">
        <f t="shared" si="16"/>
        <v>#REF!</v>
      </c>
      <c r="K39" s="72"/>
    </row>
    <row r="40" spans="1:11" ht="15" thickBot="1">
      <c r="A40" s="83" t="s">
        <v>138</v>
      </c>
      <c r="B40" s="84" t="e">
        <f>+B26+B19+B12+B6</f>
        <v>#REF!</v>
      </c>
      <c r="C40" s="193">
        <f aca="true" t="shared" si="17" ref="C40:I40">+C26+C19+C12+C6</f>
        <v>55280000</v>
      </c>
      <c r="D40" s="85">
        <f t="shared" si="17"/>
        <v>0</v>
      </c>
      <c r="E40" s="85" t="e">
        <f t="shared" si="17"/>
        <v>#REF!</v>
      </c>
      <c r="F40" s="85"/>
      <c r="G40" s="85" t="e">
        <f t="shared" si="17"/>
        <v>#REF!</v>
      </c>
      <c r="H40" s="85">
        <f t="shared" si="17"/>
        <v>3917919.7800000007</v>
      </c>
      <c r="I40" s="86" t="e">
        <f t="shared" si="17"/>
        <v>#REF!</v>
      </c>
      <c r="J40" s="85" t="e">
        <f>+J26+J19+J12+J6</f>
        <v>#REF!</v>
      </c>
      <c r="K40" s="72"/>
    </row>
    <row r="41" spans="1:11" ht="12.75">
      <c r="A41" s="87"/>
      <c r="B41" s="87"/>
      <c r="C41" s="87"/>
      <c r="D41" s="87"/>
      <c r="E41" s="72"/>
      <c r="F41" s="72"/>
      <c r="G41" s="72"/>
      <c r="H41" s="72"/>
      <c r="I41" s="72"/>
      <c r="J41" s="72"/>
      <c r="K41" s="72"/>
    </row>
    <row r="42" spans="1:11" ht="12.75">
      <c r="A42" s="87"/>
      <c r="B42" s="87"/>
      <c r="C42" s="87"/>
      <c r="D42" s="87"/>
      <c r="E42" s="72"/>
      <c r="F42" s="72"/>
      <c r="G42" s="72"/>
      <c r="H42" s="72"/>
      <c r="I42" s="72"/>
      <c r="J42" s="72"/>
      <c r="K42" s="72"/>
    </row>
    <row r="43" spans="1:11" ht="12.75">
      <c r="A43" s="224" t="s">
        <v>222</v>
      </c>
      <c r="B43" s="87"/>
      <c r="C43" s="87"/>
      <c r="D43" s="87"/>
      <c r="E43" s="72"/>
      <c r="F43" s="72"/>
      <c r="G43" s="72"/>
      <c r="H43" s="72"/>
      <c r="I43" s="72"/>
      <c r="J43" s="72"/>
      <c r="K43" s="72"/>
    </row>
    <row r="44" spans="1:11" ht="12.75">
      <c r="A44" s="72"/>
      <c r="B44" s="72"/>
      <c r="C44" s="72"/>
      <c r="D44" s="72"/>
      <c r="E44" s="72"/>
      <c r="F44" s="72"/>
      <c r="G44" s="72"/>
      <c r="H44" s="72"/>
      <c r="I44" s="72"/>
      <c r="J44" s="88"/>
      <c r="K44" s="72"/>
    </row>
    <row r="45" spans="1:11" ht="12.75">
      <c r="A45" s="72"/>
      <c r="B45" s="72"/>
      <c r="C45" s="72"/>
      <c r="D45" s="72"/>
      <c r="E45" s="72"/>
      <c r="F45" s="72"/>
      <c r="G45" s="72"/>
      <c r="H45" s="72"/>
      <c r="I45" s="72"/>
      <c r="J45" s="72"/>
      <c r="K45" s="72"/>
    </row>
    <row r="46" spans="1:11" ht="12.75">
      <c r="A46" s="72"/>
      <c r="B46" s="72"/>
      <c r="C46" s="72"/>
      <c r="D46" s="72"/>
      <c r="E46" s="72"/>
      <c r="F46" s="72"/>
      <c r="G46" s="72"/>
      <c r="H46" s="72"/>
      <c r="I46" s="72"/>
      <c r="J46" s="72"/>
      <c r="K46" s="72"/>
    </row>
    <row r="47" spans="1:11" ht="12.75">
      <c r="A47" s="72"/>
      <c r="B47" s="72"/>
      <c r="C47" s="72"/>
      <c r="D47" s="72"/>
      <c r="E47" s="72"/>
      <c r="F47" s="72"/>
      <c r="G47" s="72"/>
      <c r="H47" s="72"/>
      <c r="I47" s="72"/>
      <c r="J47" s="72"/>
      <c r="K47" s="72"/>
    </row>
    <row r="48" spans="1:11" ht="12.75">
      <c r="A48" s="72"/>
      <c r="B48" s="72"/>
      <c r="C48" s="72"/>
      <c r="D48" s="72"/>
      <c r="E48" s="72"/>
      <c r="F48" s="72"/>
      <c r="G48" s="72"/>
      <c r="H48" s="72"/>
      <c r="I48" s="72"/>
      <c r="J48" s="72"/>
      <c r="K48" s="72"/>
    </row>
    <row r="49" spans="1:11" ht="12.75">
      <c r="A49" s="72"/>
      <c r="B49" s="72"/>
      <c r="C49" s="72"/>
      <c r="D49" s="72"/>
      <c r="E49" s="72"/>
      <c r="F49" s="72"/>
      <c r="G49" s="72"/>
      <c r="H49" s="72"/>
      <c r="I49" s="72"/>
      <c r="J49" s="72"/>
      <c r="K49" s="72"/>
    </row>
    <row r="50" spans="1:11" ht="12.75">
      <c r="A50" s="72"/>
      <c r="B50" s="72"/>
      <c r="C50" s="72"/>
      <c r="D50" s="72"/>
      <c r="E50" s="72"/>
      <c r="F50" s="72"/>
      <c r="G50" s="72"/>
      <c r="H50" s="72"/>
      <c r="I50" s="72"/>
      <c r="J50" s="72"/>
      <c r="K50" s="72"/>
    </row>
    <row r="51" spans="1:11" ht="12.75">
      <c r="A51" s="72"/>
      <c r="B51" s="72"/>
      <c r="C51" s="72"/>
      <c r="D51" s="72"/>
      <c r="E51" s="72"/>
      <c r="F51" s="72"/>
      <c r="G51" s="72"/>
      <c r="H51" s="72"/>
      <c r="I51" s="72"/>
      <c r="J51" s="72"/>
      <c r="K51" s="72"/>
    </row>
    <row r="52" spans="1:11" ht="12.75">
      <c r="A52" s="72"/>
      <c r="B52" s="72"/>
      <c r="C52" s="72"/>
      <c r="D52" s="72"/>
      <c r="E52" s="72"/>
      <c r="F52" s="72"/>
      <c r="G52" s="72"/>
      <c r="H52" s="72"/>
      <c r="I52" s="72"/>
      <c r="J52" s="72"/>
      <c r="K52" s="72"/>
    </row>
    <row r="53" spans="1:11" ht="12.75">
      <c r="A53" s="72"/>
      <c r="B53" s="72"/>
      <c r="C53" s="72"/>
      <c r="D53" s="72"/>
      <c r="E53" s="72"/>
      <c r="F53" s="72"/>
      <c r="G53" s="72"/>
      <c r="H53" s="72"/>
      <c r="I53" s="72"/>
      <c r="J53" s="72"/>
      <c r="K53" s="72"/>
    </row>
    <row r="54" spans="1:11" ht="12.75">
      <c r="A54" s="72"/>
      <c r="B54" s="72"/>
      <c r="C54" s="72"/>
      <c r="D54" s="72"/>
      <c r="E54" s="72"/>
      <c r="F54" s="72"/>
      <c r="G54" s="72"/>
      <c r="H54" s="72"/>
      <c r="I54" s="72"/>
      <c r="J54" s="72"/>
      <c r="K54" s="72"/>
    </row>
    <row r="55" spans="1:11" ht="12.75">
      <c r="A55" s="54"/>
      <c r="B55" s="54"/>
      <c r="C55" s="54"/>
      <c r="D55" s="54"/>
      <c r="E55" s="54"/>
      <c r="F55" s="54"/>
      <c r="G55" s="54"/>
      <c r="H55" s="54"/>
      <c r="I55" s="54"/>
      <c r="J55" s="54"/>
      <c r="K55" s="54"/>
    </row>
    <row r="56" spans="1:11" ht="12.75">
      <c r="A56" s="54"/>
      <c r="B56" s="54"/>
      <c r="C56" s="54"/>
      <c r="D56" s="54"/>
      <c r="E56" s="54"/>
      <c r="F56" s="54"/>
      <c r="G56" s="54"/>
      <c r="H56" s="54"/>
      <c r="I56" s="54"/>
      <c r="J56" s="54"/>
      <c r="K56" s="54"/>
    </row>
    <row r="57" spans="1:11" ht="12.75">
      <c r="A57" s="54"/>
      <c r="B57" s="54"/>
      <c r="C57" s="54"/>
      <c r="D57" s="54"/>
      <c r="E57" s="54"/>
      <c r="F57" s="54"/>
      <c r="G57" s="54"/>
      <c r="H57" s="54"/>
      <c r="I57" s="54"/>
      <c r="J57" s="54"/>
      <c r="K57" s="54"/>
    </row>
    <row r="58" spans="1:11" ht="12.75">
      <c r="A58" s="54"/>
      <c r="B58" s="54"/>
      <c r="C58" s="54"/>
      <c r="D58" s="54"/>
      <c r="E58" s="54"/>
      <c r="F58" s="54"/>
      <c r="G58" s="54"/>
      <c r="H58" s="54"/>
      <c r="I58" s="54"/>
      <c r="J58" s="54"/>
      <c r="K58" s="54"/>
    </row>
    <row r="59" spans="1:11" ht="12.75">
      <c r="A59" s="54"/>
      <c r="B59" s="54"/>
      <c r="C59" s="54"/>
      <c r="D59" s="54"/>
      <c r="E59" s="54"/>
      <c r="F59" s="54"/>
      <c r="G59" s="54"/>
      <c r="H59" s="54"/>
      <c r="I59" s="54"/>
      <c r="J59" s="54"/>
      <c r="K59" s="54"/>
    </row>
    <row r="60" spans="1:11" ht="12.75">
      <c r="A60" s="54"/>
      <c r="B60" s="54"/>
      <c r="C60" s="54"/>
      <c r="D60" s="54"/>
      <c r="E60" s="54"/>
      <c r="F60" s="54"/>
      <c r="G60" s="54"/>
      <c r="H60" s="54"/>
      <c r="I60" s="54"/>
      <c r="J60" s="54"/>
      <c r="K60" s="54"/>
    </row>
    <row r="61" spans="1:11" ht="12.75">
      <c r="A61" s="54"/>
      <c r="B61" s="54"/>
      <c r="C61" s="54"/>
      <c r="D61" s="54"/>
      <c r="E61" s="54"/>
      <c r="F61" s="54"/>
      <c r="G61" s="54"/>
      <c r="H61" s="54"/>
      <c r="I61" s="54"/>
      <c r="J61" s="54"/>
      <c r="K61" s="54"/>
    </row>
    <row r="62" spans="1:11" ht="12.75">
      <c r="A62" s="54"/>
      <c r="B62" s="54"/>
      <c r="C62" s="54"/>
      <c r="D62" s="54"/>
      <c r="E62" s="54"/>
      <c r="F62" s="54"/>
      <c r="G62" s="54"/>
      <c r="H62" s="54"/>
      <c r="I62" s="54"/>
      <c r="J62" s="54"/>
      <c r="K62" s="54"/>
    </row>
    <row r="63" spans="1:11" ht="12.75">
      <c r="A63" s="54"/>
      <c r="B63" s="54"/>
      <c r="C63" s="54"/>
      <c r="D63" s="54"/>
      <c r="E63" s="54"/>
      <c r="F63" s="54"/>
      <c r="G63" s="54"/>
      <c r="H63" s="54"/>
      <c r="I63" s="54"/>
      <c r="J63" s="54"/>
      <c r="K63" s="54"/>
    </row>
    <row r="64" spans="1:11" ht="12.75">
      <c r="A64" s="54"/>
      <c r="B64" s="54"/>
      <c r="C64" s="54"/>
      <c r="D64" s="54"/>
      <c r="E64" s="54"/>
      <c r="F64" s="54"/>
      <c r="G64" s="54"/>
      <c r="H64" s="54"/>
      <c r="I64" s="54"/>
      <c r="J64" s="54"/>
      <c r="K64" s="54"/>
    </row>
    <row r="65" spans="1:11" ht="12.75">
      <c r="A65" s="54"/>
      <c r="B65" s="54"/>
      <c r="C65" s="54"/>
      <c r="D65" s="54"/>
      <c r="E65" s="54"/>
      <c r="F65" s="54"/>
      <c r="G65" s="54"/>
      <c r="H65" s="54"/>
      <c r="I65" s="54"/>
      <c r="J65" s="54"/>
      <c r="K65" s="54"/>
    </row>
    <row r="66" spans="1:11" ht="12.75">
      <c r="A66" s="54"/>
      <c r="B66" s="54"/>
      <c r="C66" s="54"/>
      <c r="D66" s="54"/>
      <c r="E66" s="54"/>
      <c r="F66" s="54"/>
      <c r="G66" s="54"/>
      <c r="H66" s="54"/>
      <c r="I66" s="54"/>
      <c r="J66" s="54"/>
      <c r="K66" s="54"/>
    </row>
    <row r="67" spans="1:11" ht="12.75">
      <c r="A67" s="54"/>
      <c r="B67" s="54"/>
      <c r="C67" s="54"/>
      <c r="D67" s="54"/>
      <c r="E67" s="54"/>
      <c r="F67" s="54"/>
      <c r="G67" s="54"/>
      <c r="H67" s="54"/>
      <c r="I67" s="54"/>
      <c r="J67" s="54"/>
      <c r="K67" s="54"/>
    </row>
    <row r="68" spans="1:11" ht="12.75">
      <c r="A68" s="54"/>
      <c r="B68" s="54"/>
      <c r="C68" s="54"/>
      <c r="D68" s="54"/>
      <c r="E68" s="54"/>
      <c r="F68" s="54"/>
      <c r="G68" s="54"/>
      <c r="H68" s="54"/>
      <c r="I68" s="54"/>
      <c r="J68" s="54"/>
      <c r="K68" s="54"/>
    </row>
    <row r="69" spans="1:11" ht="12.75">
      <c r="A69" s="54"/>
      <c r="B69" s="54"/>
      <c r="C69" s="54"/>
      <c r="D69" s="54"/>
      <c r="E69" s="54"/>
      <c r="F69" s="54"/>
      <c r="G69" s="54"/>
      <c r="H69" s="54"/>
      <c r="I69" s="54"/>
      <c r="J69" s="54"/>
      <c r="K69" s="54"/>
    </row>
    <row r="70" spans="1:11" ht="12.75">
      <c r="A70" s="54"/>
      <c r="B70" s="54"/>
      <c r="C70" s="54"/>
      <c r="D70" s="54"/>
      <c r="E70" s="54"/>
      <c r="F70" s="54"/>
      <c r="G70" s="54"/>
      <c r="H70" s="54"/>
      <c r="I70" s="54"/>
      <c r="J70" s="54"/>
      <c r="K70" s="54"/>
    </row>
    <row r="71" spans="1:11" ht="12.75">
      <c r="A71" s="54"/>
      <c r="B71" s="54"/>
      <c r="C71" s="54"/>
      <c r="D71" s="54"/>
      <c r="E71" s="54"/>
      <c r="F71" s="54"/>
      <c r="G71" s="54"/>
      <c r="H71" s="54"/>
      <c r="I71" s="54"/>
      <c r="J71" s="54"/>
      <c r="K71" s="54"/>
    </row>
    <row r="72" spans="1:11" ht="12.75">
      <c r="A72" s="54"/>
      <c r="B72" s="54"/>
      <c r="C72" s="54"/>
      <c r="D72" s="54"/>
      <c r="E72" s="54"/>
      <c r="F72" s="54"/>
      <c r="G72" s="54"/>
      <c r="H72" s="54"/>
      <c r="I72" s="54"/>
      <c r="J72" s="54"/>
      <c r="K72" s="54"/>
    </row>
    <row r="73" spans="1:11" ht="12.75">
      <c r="A73" s="54"/>
      <c r="B73" s="54"/>
      <c r="C73" s="54"/>
      <c r="D73" s="54"/>
      <c r="E73" s="54"/>
      <c r="F73" s="54"/>
      <c r="G73" s="54"/>
      <c r="H73" s="54"/>
      <c r="I73" s="54"/>
      <c r="J73" s="54"/>
      <c r="K73" s="54"/>
    </row>
    <row r="74" spans="1:11" ht="12.75">
      <c r="A74" s="54"/>
      <c r="B74" s="54"/>
      <c r="C74" s="54"/>
      <c r="D74" s="54"/>
      <c r="E74" s="54"/>
      <c r="F74" s="54"/>
      <c r="G74" s="54"/>
      <c r="H74" s="54"/>
      <c r="I74" s="54"/>
      <c r="J74" s="54"/>
      <c r="K74" s="54"/>
    </row>
    <row r="75" spans="1:11" ht="12.75">
      <c r="A75" s="54"/>
      <c r="B75" s="54"/>
      <c r="C75" s="54"/>
      <c r="D75" s="54"/>
      <c r="E75" s="54"/>
      <c r="F75" s="54"/>
      <c r="G75" s="54"/>
      <c r="H75" s="54"/>
      <c r="I75" s="54"/>
      <c r="J75" s="54"/>
      <c r="K75" s="54"/>
    </row>
    <row r="76" spans="1:11" ht="12.75">
      <c r="A76" s="54"/>
      <c r="B76" s="54"/>
      <c r="C76" s="54"/>
      <c r="D76" s="54"/>
      <c r="E76" s="54"/>
      <c r="F76" s="54"/>
      <c r="G76" s="54"/>
      <c r="H76" s="54"/>
      <c r="I76" s="54"/>
      <c r="J76" s="54"/>
      <c r="K76" s="54"/>
    </row>
    <row r="77" spans="1:11" ht="12.75">
      <c r="A77" s="54"/>
      <c r="B77" s="54"/>
      <c r="C77" s="54"/>
      <c r="D77" s="54"/>
      <c r="E77" s="54"/>
      <c r="F77" s="54"/>
      <c r="G77" s="54"/>
      <c r="H77" s="54"/>
      <c r="I77" s="54"/>
      <c r="J77" s="54"/>
      <c r="K77" s="54"/>
    </row>
    <row r="78" spans="1:11" ht="12.75">
      <c r="A78" s="54"/>
      <c r="B78" s="54"/>
      <c r="C78" s="54"/>
      <c r="D78" s="54"/>
      <c r="E78" s="54"/>
      <c r="F78" s="54"/>
      <c r="G78" s="54"/>
      <c r="H78" s="54"/>
      <c r="I78" s="54"/>
      <c r="J78" s="54"/>
      <c r="K78" s="54"/>
    </row>
    <row r="79" spans="1:11" ht="12.75">
      <c r="A79" s="54"/>
      <c r="B79" s="54"/>
      <c r="C79" s="54"/>
      <c r="D79" s="54"/>
      <c r="E79" s="54"/>
      <c r="F79" s="54"/>
      <c r="G79" s="54"/>
      <c r="H79" s="54"/>
      <c r="I79" s="54"/>
      <c r="J79" s="54"/>
      <c r="K79" s="54"/>
    </row>
    <row r="80" spans="1:11" ht="12.75">
      <c r="A80" s="54"/>
      <c r="B80" s="54"/>
      <c r="C80" s="54"/>
      <c r="D80" s="54"/>
      <c r="E80" s="54"/>
      <c r="F80" s="54"/>
      <c r="G80" s="54"/>
      <c r="H80" s="54"/>
      <c r="I80" s="54"/>
      <c r="J80" s="54"/>
      <c r="K80" s="54"/>
    </row>
    <row r="81" spans="1:11" ht="12.75">
      <c r="A81" s="54"/>
      <c r="B81" s="54"/>
      <c r="C81" s="54"/>
      <c r="D81" s="54"/>
      <c r="E81" s="54"/>
      <c r="F81" s="54"/>
      <c r="G81" s="54"/>
      <c r="H81" s="54"/>
      <c r="I81" s="54"/>
      <c r="J81" s="54"/>
      <c r="K81" s="54"/>
    </row>
    <row r="82" spans="1:11" ht="12.75">
      <c r="A82" s="54"/>
      <c r="B82" s="54"/>
      <c r="C82" s="54"/>
      <c r="D82" s="54"/>
      <c r="E82" s="54"/>
      <c r="F82" s="54"/>
      <c r="G82" s="54"/>
      <c r="H82" s="54"/>
      <c r="I82" s="54"/>
      <c r="J82" s="54"/>
      <c r="K82" s="54"/>
    </row>
    <row r="83" spans="1:11" ht="12.75">
      <c r="A83" s="54"/>
      <c r="B83" s="54"/>
      <c r="C83" s="54"/>
      <c r="D83" s="54"/>
      <c r="E83" s="54"/>
      <c r="F83" s="54"/>
      <c r="G83" s="54"/>
      <c r="H83" s="54"/>
      <c r="I83" s="54"/>
      <c r="J83" s="54"/>
      <c r="K83" s="54"/>
    </row>
    <row r="84" spans="1:11" ht="12.75">
      <c r="A84" s="54"/>
      <c r="B84" s="54"/>
      <c r="C84" s="54"/>
      <c r="D84" s="54"/>
      <c r="E84" s="54"/>
      <c r="F84" s="54"/>
      <c r="G84" s="54"/>
      <c r="H84" s="54"/>
      <c r="I84" s="54"/>
      <c r="J84" s="54"/>
      <c r="K84" s="54"/>
    </row>
    <row r="85" spans="1:11" ht="12.75">
      <c r="A85" s="54"/>
      <c r="B85" s="54"/>
      <c r="C85" s="54"/>
      <c r="D85" s="54"/>
      <c r="E85" s="54"/>
      <c r="F85" s="54"/>
      <c r="G85" s="54"/>
      <c r="H85" s="54"/>
      <c r="I85" s="54"/>
      <c r="J85" s="54"/>
      <c r="K85" s="54"/>
    </row>
    <row r="86" spans="1:11" ht="12.75">
      <c r="A86" s="54"/>
      <c r="B86" s="54"/>
      <c r="C86" s="54"/>
      <c r="D86" s="54"/>
      <c r="E86" s="54"/>
      <c r="F86" s="54"/>
      <c r="G86" s="54"/>
      <c r="H86" s="54"/>
      <c r="I86" s="54"/>
      <c r="J86" s="54"/>
      <c r="K86" s="54"/>
    </row>
    <row r="87" spans="1:11" ht="12.75">
      <c r="A87" s="54"/>
      <c r="B87" s="54"/>
      <c r="C87" s="54"/>
      <c r="D87" s="54"/>
      <c r="E87" s="54"/>
      <c r="F87" s="54"/>
      <c r="G87" s="54"/>
      <c r="H87" s="54"/>
      <c r="I87" s="54"/>
      <c r="J87" s="54"/>
      <c r="K87" s="54"/>
    </row>
    <row r="88" spans="1:11" ht="12.75">
      <c r="A88" s="54"/>
      <c r="B88" s="54"/>
      <c r="C88" s="54"/>
      <c r="D88" s="54"/>
      <c r="E88" s="54"/>
      <c r="F88" s="54"/>
      <c r="G88" s="54"/>
      <c r="H88" s="54"/>
      <c r="I88" s="54"/>
      <c r="J88" s="54"/>
      <c r="K88" s="54"/>
    </row>
    <row r="89" spans="1:11" ht="12.75">
      <c r="A89" s="54"/>
      <c r="B89" s="54"/>
      <c r="C89" s="54"/>
      <c r="D89" s="54"/>
      <c r="E89" s="54"/>
      <c r="F89" s="54"/>
      <c r="G89" s="54"/>
      <c r="H89" s="54"/>
      <c r="I89" s="54"/>
      <c r="J89" s="54"/>
      <c r="K89" s="54"/>
    </row>
    <row r="90" spans="1:11" ht="12.75">
      <c r="A90" s="54"/>
      <c r="B90" s="54"/>
      <c r="C90" s="54"/>
      <c r="D90" s="54"/>
      <c r="E90" s="54"/>
      <c r="F90" s="54"/>
      <c r="G90" s="54"/>
      <c r="H90" s="54"/>
      <c r="I90" s="54"/>
      <c r="J90" s="54"/>
      <c r="K90" s="54"/>
    </row>
    <row r="91" spans="1:11" ht="12.75">
      <c r="A91" s="54"/>
      <c r="B91" s="54"/>
      <c r="C91" s="54"/>
      <c r="D91" s="54"/>
      <c r="E91" s="54"/>
      <c r="F91" s="54"/>
      <c r="G91" s="54"/>
      <c r="H91" s="54"/>
      <c r="I91" s="54"/>
      <c r="J91" s="54"/>
      <c r="K91" s="54"/>
    </row>
    <row r="92" spans="1:11" ht="12.75">
      <c r="A92" s="54"/>
      <c r="B92" s="54"/>
      <c r="C92" s="54"/>
      <c r="D92" s="54"/>
      <c r="E92" s="54"/>
      <c r="F92" s="54"/>
      <c r="G92" s="54"/>
      <c r="H92" s="54"/>
      <c r="I92" s="54"/>
      <c r="J92" s="54"/>
      <c r="K92" s="54"/>
    </row>
    <row r="93" spans="1:11" ht="12.75">
      <c r="A93" s="54"/>
      <c r="B93" s="54"/>
      <c r="C93" s="54"/>
      <c r="D93" s="54"/>
      <c r="E93" s="54"/>
      <c r="F93" s="54"/>
      <c r="G93" s="54"/>
      <c r="H93" s="54"/>
      <c r="I93" s="54"/>
      <c r="J93" s="54"/>
      <c r="K93" s="54"/>
    </row>
    <row r="94" spans="1:11" ht="12.75">
      <c r="A94" s="54"/>
      <c r="B94" s="54"/>
      <c r="C94" s="54"/>
      <c r="D94" s="54"/>
      <c r="E94" s="54"/>
      <c r="F94" s="54"/>
      <c r="G94" s="54"/>
      <c r="H94" s="54"/>
      <c r="I94" s="54"/>
      <c r="J94" s="54"/>
      <c r="K94" s="54"/>
    </row>
    <row r="95" spans="1:11" ht="12.75">
      <c r="A95" s="54"/>
      <c r="B95" s="54"/>
      <c r="C95" s="54"/>
      <c r="D95" s="54"/>
      <c r="E95" s="54"/>
      <c r="F95" s="54"/>
      <c r="G95" s="54"/>
      <c r="H95" s="54"/>
      <c r="I95" s="54"/>
      <c r="J95" s="54"/>
      <c r="K95" s="54"/>
    </row>
    <row r="96" spans="1:11" ht="12.75">
      <c r="A96" s="54"/>
      <c r="B96" s="54"/>
      <c r="C96" s="54"/>
      <c r="D96" s="54"/>
      <c r="E96" s="54"/>
      <c r="F96" s="54"/>
      <c r="G96" s="54"/>
      <c r="H96" s="54"/>
      <c r="I96" s="54"/>
      <c r="J96" s="54"/>
      <c r="K96" s="54"/>
    </row>
    <row r="97" spans="1:11" ht="12.75">
      <c r="A97" s="54"/>
      <c r="B97" s="54"/>
      <c r="C97" s="54"/>
      <c r="D97" s="54"/>
      <c r="E97" s="54"/>
      <c r="F97" s="54"/>
      <c r="G97" s="54"/>
      <c r="H97" s="54"/>
      <c r="I97" s="54"/>
      <c r="J97" s="54"/>
      <c r="K97" s="54"/>
    </row>
    <row r="98" spans="1:11" ht="12.75">
      <c r="A98" s="54"/>
      <c r="B98" s="54"/>
      <c r="C98" s="54"/>
      <c r="D98" s="54"/>
      <c r="E98" s="54"/>
      <c r="F98" s="54"/>
      <c r="G98" s="54"/>
      <c r="H98" s="54"/>
      <c r="I98" s="54"/>
      <c r="J98" s="54"/>
      <c r="K98" s="54"/>
    </row>
    <row r="99" spans="1:11" ht="12.75">
      <c r="A99" s="54"/>
      <c r="B99" s="54"/>
      <c r="C99" s="54"/>
      <c r="D99" s="54"/>
      <c r="E99" s="54"/>
      <c r="F99" s="54"/>
      <c r="G99" s="54"/>
      <c r="H99" s="54"/>
      <c r="I99" s="54"/>
      <c r="J99" s="54"/>
      <c r="K99" s="54"/>
    </row>
    <row r="100" spans="1:11" ht="12.75">
      <c r="A100" s="54"/>
      <c r="B100" s="54"/>
      <c r="C100" s="54"/>
      <c r="D100" s="54"/>
      <c r="E100" s="54"/>
      <c r="F100" s="54"/>
      <c r="G100" s="54"/>
      <c r="H100" s="54"/>
      <c r="I100" s="54"/>
      <c r="J100" s="54"/>
      <c r="K100" s="54"/>
    </row>
    <row r="101" spans="1:11" ht="12.75">
      <c r="A101" s="54"/>
      <c r="B101" s="54"/>
      <c r="C101" s="54"/>
      <c r="D101" s="54"/>
      <c r="E101" s="54"/>
      <c r="F101" s="54"/>
      <c r="G101" s="54"/>
      <c r="H101" s="54"/>
      <c r="I101" s="54"/>
      <c r="J101" s="54"/>
      <c r="K101" s="54"/>
    </row>
    <row r="102" spans="1:11" ht="12.75">
      <c r="A102" s="54"/>
      <c r="B102" s="54"/>
      <c r="C102" s="54"/>
      <c r="D102" s="54"/>
      <c r="E102" s="54"/>
      <c r="F102" s="54"/>
      <c r="G102" s="54"/>
      <c r="H102" s="54"/>
      <c r="I102" s="54"/>
      <c r="J102" s="54"/>
      <c r="K102" s="54"/>
    </row>
    <row r="103" spans="1:11" ht="12.75">
      <c r="A103" s="54"/>
      <c r="B103" s="54"/>
      <c r="C103" s="54"/>
      <c r="D103" s="54"/>
      <c r="E103" s="54"/>
      <c r="F103" s="54"/>
      <c r="G103" s="54"/>
      <c r="H103" s="54"/>
      <c r="I103" s="54"/>
      <c r="J103" s="54"/>
      <c r="K103" s="54"/>
    </row>
    <row r="104" spans="1:11" ht="12.75">
      <c r="A104" s="54"/>
      <c r="B104" s="54"/>
      <c r="C104" s="54"/>
      <c r="D104" s="54"/>
      <c r="E104" s="54"/>
      <c r="F104" s="54"/>
      <c r="G104" s="54"/>
      <c r="H104" s="54"/>
      <c r="I104" s="54"/>
      <c r="J104" s="54"/>
      <c r="K104" s="54"/>
    </row>
    <row r="105" spans="1:11" ht="12.75">
      <c r="A105" s="54"/>
      <c r="B105" s="54"/>
      <c r="C105" s="54"/>
      <c r="D105" s="54"/>
      <c r="E105" s="54"/>
      <c r="F105" s="54"/>
      <c r="G105" s="54"/>
      <c r="H105" s="54"/>
      <c r="I105" s="54"/>
      <c r="J105" s="54"/>
      <c r="K105" s="54"/>
    </row>
    <row r="106" spans="1:11" ht="12.75">
      <c r="A106" s="54"/>
      <c r="B106" s="54"/>
      <c r="C106" s="54"/>
      <c r="D106" s="54"/>
      <c r="E106" s="54"/>
      <c r="F106" s="54"/>
      <c r="G106" s="54"/>
      <c r="H106" s="54"/>
      <c r="I106" s="54"/>
      <c r="J106" s="54"/>
      <c r="K106" s="54"/>
    </row>
    <row r="107" spans="1:11" ht="12.75">
      <c r="A107" s="54"/>
      <c r="B107" s="54"/>
      <c r="C107" s="54"/>
      <c r="D107" s="54"/>
      <c r="E107" s="54"/>
      <c r="F107" s="54"/>
      <c r="G107" s="54"/>
      <c r="H107" s="54"/>
      <c r="I107" s="54"/>
      <c r="J107" s="54"/>
      <c r="K107" s="54"/>
    </row>
    <row r="108" spans="1:11" ht="12.75">
      <c r="A108" s="54"/>
      <c r="B108" s="54"/>
      <c r="C108" s="54"/>
      <c r="D108" s="54"/>
      <c r="E108" s="54"/>
      <c r="F108" s="54"/>
      <c r="G108" s="54"/>
      <c r="H108" s="54"/>
      <c r="I108" s="54"/>
      <c r="J108" s="54"/>
      <c r="K108" s="54"/>
    </row>
    <row r="109" spans="1:11" ht="12.75">
      <c r="A109" s="54"/>
      <c r="B109" s="54"/>
      <c r="C109" s="54"/>
      <c r="D109" s="54"/>
      <c r="E109" s="54"/>
      <c r="F109" s="54"/>
      <c r="G109" s="54"/>
      <c r="H109" s="54"/>
      <c r="I109" s="54"/>
      <c r="J109" s="54"/>
      <c r="K109" s="54"/>
    </row>
    <row r="110" spans="1:11" ht="12.75">
      <c r="A110" s="54"/>
      <c r="B110" s="54"/>
      <c r="C110" s="54"/>
      <c r="D110" s="54"/>
      <c r="E110" s="54"/>
      <c r="F110" s="54"/>
      <c r="G110" s="54"/>
      <c r="H110" s="54"/>
      <c r="I110" s="54"/>
      <c r="J110" s="54"/>
      <c r="K110" s="54"/>
    </row>
    <row r="111" spans="1:11" ht="12.75">
      <c r="A111" s="54"/>
      <c r="B111" s="54"/>
      <c r="C111" s="54"/>
      <c r="D111" s="54"/>
      <c r="E111" s="54"/>
      <c r="F111" s="54"/>
      <c r="G111" s="54"/>
      <c r="H111" s="54"/>
      <c r="I111" s="54"/>
      <c r="J111" s="54"/>
      <c r="K111" s="54"/>
    </row>
    <row r="112" spans="1:11" ht="12.75">
      <c r="A112" s="54"/>
      <c r="B112" s="54"/>
      <c r="C112" s="54"/>
      <c r="D112" s="54"/>
      <c r="E112" s="54"/>
      <c r="F112" s="54"/>
      <c r="G112" s="54"/>
      <c r="H112" s="54"/>
      <c r="I112" s="54"/>
      <c r="J112" s="54"/>
      <c r="K112" s="54"/>
    </row>
    <row r="113" spans="1:11" ht="12.75">
      <c r="A113" s="54"/>
      <c r="B113" s="54"/>
      <c r="C113" s="54"/>
      <c r="D113" s="54"/>
      <c r="E113" s="54"/>
      <c r="F113" s="54"/>
      <c r="G113" s="54"/>
      <c r="H113" s="54"/>
      <c r="I113" s="54"/>
      <c r="J113" s="54"/>
      <c r="K113" s="54"/>
    </row>
    <row r="114" spans="1:11" ht="12.75">
      <c r="A114" s="54"/>
      <c r="B114" s="54"/>
      <c r="C114" s="54"/>
      <c r="D114" s="54"/>
      <c r="E114" s="54"/>
      <c r="F114" s="54"/>
      <c r="G114" s="54"/>
      <c r="H114" s="54"/>
      <c r="I114" s="54"/>
      <c r="J114" s="54"/>
      <c r="K114" s="54"/>
    </row>
    <row r="115" spans="1:11" ht="12.75">
      <c r="A115" s="54"/>
      <c r="B115" s="54"/>
      <c r="C115" s="54"/>
      <c r="D115" s="54"/>
      <c r="E115" s="54"/>
      <c r="F115" s="54"/>
      <c r="G115" s="54"/>
      <c r="H115" s="54"/>
      <c r="I115" s="54"/>
      <c r="J115" s="54"/>
      <c r="K115" s="54"/>
    </row>
    <row r="116" spans="1:11" ht="12.75">
      <c r="A116" s="54"/>
      <c r="B116" s="54"/>
      <c r="C116" s="54"/>
      <c r="D116" s="54"/>
      <c r="E116" s="54"/>
      <c r="F116" s="54"/>
      <c r="G116" s="54"/>
      <c r="H116" s="54"/>
      <c r="I116" s="54"/>
      <c r="J116" s="54"/>
      <c r="K116" s="54"/>
    </row>
    <row r="117" spans="1:11" ht="12.75">
      <c r="A117" s="54"/>
      <c r="B117" s="54"/>
      <c r="C117" s="54"/>
      <c r="D117" s="54"/>
      <c r="E117" s="54"/>
      <c r="F117" s="54"/>
      <c r="G117" s="54"/>
      <c r="H117" s="54"/>
      <c r="I117" s="54"/>
      <c r="J117" s="54"/>
      <c r="K117" s="54"/>
    </row>
    <row r="118" spans="1:11" ht="12.75">
      <c r="A118" s="54"/>
      <c r="B118" s="54"/>
      <c r="C118" s="54"/>
      <c r="D118" s="54"/>
      <c r="E118" s="54"/>
      <c r="F118" s="54"/>
      <c r="G118" s="54"/>
      <c r="H118" s="54"/>
      <c r="I118" s="54"/>
      <c r="J118" s="54"/>
      <c r="K118" s="54"/>
    </row>
    <row r="119" spans="1:11" ht="12.75">
      <c r="A119" s="54"/>
      <c r="B119" s="54"/>
      <c r="C119" s="54"/>
      <c r="D119" s="54"/>
      <c r="E119" s="54"/>
      <c r="F119" s="54"/>
      <c r="G119" s="54"/>
      <c r="H119" s="54"/>
      <c r="I119" s="54"/>
      <c r="J119" s="54"/>
      <c r="K119" s="54"/>
    </row>
    <row r="120" spans="1:11" ht="12.75">
      <c r="A120" s="54"/>
      <c r="B120" s="54"/>
      <c r="C120" s="54"/>
      <c r="D120" s="54"/>
      <c r="E120" s="54"/>
      <c r="F120" s="54"/>
      <c r="G120" s="54"/>
      <c r="H120" s="54"/>
      <c r="I120" s="54"/>
      <c r="J120" s="54"/>
      <c r="K120" s="54"/>
    </row>
    <row r="121" spans="1:11" ht="12.75">
      <c r="A121" s="54"/>
      <c r="B121" s="54"/>
      <c r="C121" s="54"/>
      <c r="D121" s="54"/>
      <c r="E121" s="54"/>
      <c r="F121" s="54"/>
      <c r="G121" s="54"/>
      <c r="H121" s="54"/>
      <c r="I121" s="54"/>
      <c r="J121" s="54"/>
      <c r="K121" s="54"/>
    </row>
    <row r="122" spans="1:11" ht="12.75">
      <c r="A122" s="54"/>
      <c r="B122" s="54"/>
      <c r="C122" s="54"/>
      <c r="D122" s="54"/>
      <c r="E122" s="54"/>
      <c r="F122" s="54"/>
      <c r="G122" s="54"/>
      <c r="H122" s="54"/>
      <c r="I122" s="54"/>
      <c r="J122" s="54"/>
      <c r="K122" s="54"/>
    </row>
    <row r="123" spans="1:11" ht="12.75">
      <c r="A123" s="54"/>
      <c r="B123" s="54"/>
      <c r="C123" s="54"/>
      <c r="D123" s="54"/>
      <c r="E123" s="54"/>
      <c r="F123" s="54"/>
      <c r="G123" s="54"/>
      <c r="H123" s="54"/>
      <c r="I123" s="54"/>
      <c r="J123" s="54"/>
      <c r="K123" s="54"/>
    </row>
    <row r="124" spans="1:11" ht="12.75">
      <c r="A124" s="54"/>
      <c r="B124" s="54"/>
      <c r="C124" s="54"/>
      <c r="D124" s="54"/>
      <c r="E124" s="54"/>
      <c r="F124" s="54"/>
      <c r="G124" s="54"/>
      <c r="H124" s="54"/>
      <c r="I124" s="54"/>
      <c r="J124" s="54"/>
      <c r="K124" s="54"/>
    </row>
    <row r="125" spans="1:11" ht="12.75">
      <c r="A125" s="54"/>
      <c r="B125" s="54"/>
      <c r="C125" s="54"/>
      <c r="D125" s="54"/>
      <c r="E125" s="54"/>
      <c r="F125" s="54"/>
      <c r="G125" s="54"/>
      <c r="H125" s="54"/>
      <c r="I125" s="54"/>
      <c r="J125" s="54"/>
      <c r="K125" s="54"/>
    </row>
    <row r="126" spans="1:11" ht="12.75">
      <c r="A126" s="54"/>
      <c r="B126" s="54"/>
      <c r="C126" s="54"/>
      <c r="D126" s="54"/>
      <c r="E126" s="54"/>
      <c r="F126" s="54"/>
      <c r="G126" s="54"/>
      <c r="H126" s="54"/>
      <c r="I126" s="54"/>
      <c r="J126" s="54"/>
      <c r="K126" s="54"/>
    </row>
    <row r="127" spans="1:11" ht="12.75">
      <c r="A127" s="54"/>
      <c r="B127" s="54"/>
      <c r="C127" s="54"/>
      <c r="D127" s="54"/>
      <c r="E127" s="54"/>
      <c r="F127" s="54"/>
      <c r="G127" s="54"/>
      <c r="H127" s="54"/>
      <c r="I127" s="54"/>
      <c r="J127" s="54"/>
      <c r="K127" s="54"/>
    </row>
    <row r="128" spans="1:11" ht="12.75">
      <c r="A128" s="54"/>
      <c r="B128" s="54"/>
      <c r="C128" s="54"/>
      <c r="D128" s="54"/>
      <c r="E128" s="54"/>
      <c r="F128" s="54"/>
      <c r="G128" s="54"/>
      <c r="H128" s="54"/>
      <c r="I128" s="54"/>
      <c r="J128" s="54"/>
      <c r="K128" s="54"/>
    </row>
    <row r="129" spans="1:11" ht="12.75">
      <c r="A129" s="54"/>
      <c r="B129" s="54"/>
      <c r="C129" s="54"/>
      <c r="D129" s="54"/>
      <c r="E129" s="54"/>
      <c r="F129" s="54"/>
      <c r="G129" s="54"/>
      <c r="H129" s="54"/>
      <c r="I129" s="54"/>
      <c r="J129" s="54"/>
      <c r="K129" s="54"/>
    </row>
    <row r="130" spans="1:11" ht="12.75">
      <c r="A130" s="54"/>
      <c r="B130" s="54"/>
      <c r="C130" s="54"/>
      <c r="D130" s="54"/>
      <c r="E130" s="54"/>
      <c r="F130" s="54"/>
      <c r="G130" s="54"/>
      <c r="H130" s="54"/>
      <c r="I130" s="54"/>
      <c r="J130" s="54"/>
      <c r="K130" s="54"/>
    </row>
    <row r="131" spans="1:11" ht="12.75">
      <c r="A131" s="54"/>
      <c r="B131" s="54"/>
      <c r="C131" s="54"/>
      <c r="D131" s="54"/>
      <c r="E131" s="54"/>
      <c r="F131" s="54"/>
      <c r="G131" s="54"/>
      <c r="H131" s="54"/>
      <c r="I131" s="54"/>
      <c r="J131" s="54"/>
      <c r="K131" s="54"/>
    </row>
    <row r="132" spans="1:11" ht="12.75">
      <c r="A132" s="54"/>
      <c r="B132" s="54"/>
      <c r="C132" s="54"/>
      <c r="D132" s="54"/>
      <c r="E132" s="54"/>
      <c r="F132" s="54"/>
      <c r="G132" s="54"/>
      <c r="H132" s="54"/>
      <c r="I132" s="54"/>
      <c r="J132" s="54"/>
      <c r="K132" s="54"/>
    </row>
    <row r="133" spans="1:11" ht="12.75">
      <c r="A133" s="54"/>
      <c r="B133" s="54"/>
      <c r="C133" s="54"/>
      <c r="D133" s="54"/>
      <c r="E133" s="54"/>
      <c r="F133" s="54"/>
      <c r="G133" s="54"/>
      <c r="H133" s="54"/>
      <c r="I133" s="54"/>
      <c r="J133" s="54"/>
      <c r="K133" s="54"/>
    </row>
    <row r="134" spans="1:11" ht="12.75">
      <c r="A134" s="54"/>
      <c r="B134" s="54"/>
      <c r="C134" s="54"/>
      <c r="D134" s="54"/>
      <c r="E134" s="54"/>
      <c r="F134" s="54"/>
      <c r="G134" s="54"/>
      <c r="H134" s="54"/>
      <c r="I134" s="54"/>
      <c r="J134" s="54"/>
      <c r="K134" s="54"/>
    </row>
    <row r="135" spans="1:11" ht="12.75">
      <c r="A135" s="54"/>
      <c r="B135" s="54"/>
      <c r="C135" s="54"/>
      <c r="D135" s="54"/>
      <c r="E135" s="54"/>
      <c r="F135" s="54"/>
      <c r="G135" s="54"/>
      <c r="H135" s="54"/>
      <c r="I135" s="54"/>
      <c r="J135" s="54"/>
      <c r="K135" s="54"/>
    </row>
    <row r="136" spans="1:11" ht="12.75">
      <c r="A136" s="54"/>
      <c r="B136" s="54"/>
      <c r="C136" s="54"/>
      <c r="D136" s="54"/>
      <c r="E136" s="54"/>
      <c r="F136" s="54"/>
      <c r="G136" s="54"/>
      <c r="H136" s="54"/>
      <c r="I136" s="54"/>
      <c r="J136" s="54"/>
      <c r="K136" s="54"/>
    </row>
    <row r="137" spans="1:11" ht="12.75">
      <c r="A137" s="54"/>
      <c r="B137" s="54"/>
      <c r="C137" s="54"/>
      <c r="D137" s="54"/>
      <c r="E137" s="54"/>
      <c r="F137" s="54"/>
      <c r="G137" s="54"/>
      <c r="H137" s="54"/>
      <c r="I137" s="54"/>
      <c r="J137" s="54"/>
      <c r="K137" s="54"/>
    </row>
    <row r="138" spans="1:11" ht="12.75">
      <c r="A138" s="54"/>
      <c r="B138" s="54"/>
      <c r="C138" s="54"/>
      <c r="D138" s="54"/>
      <c r="E138" s="54"/>
      <c r="F138" s="54"/>
      <c r="G138" s="54"/>
      <c r="H138" s="54"/>
      <c r="I138" s="54"/>
      <c r="J138" s="54"/>
      <c r="K138" s="54"/>
    </row>
    <row r="139" spans="1:11" ht="12.75">
      <c r="A139" s="54"/>
      <c r="B139" s="54"/>
      <c r="C139" s="54"/>
      <c r="D139" s="54"/>
      <c r="E139" s="54"/>
      <c r="F139" s="54"/>
      <c r="G139" s="54"/>
      <c r="H139" s="54"/>
      <c r="I139" s="54"/>
      <c r="J139" s="54"/>
      <c r="K139" s="54"/>
    </row>
    <row r="140" spans="1:11" ht="12.75">
      <c r="A140" s="54"/>
      <c r="B140" s="54"/>
      <c r="C140" s="54"/>
      <c r="D140" s="54"/>
      <c r="E140" s="54"/>
      <c r="F140" s="54"/>
      <c r="G140" s="54"/>
      <c r="H140" s="54"/>
      <c r="I140" s="54"/>
      <c r="J140" s="54"/>
      <c r="K140" s="54"/>
    </row>
    <row r="141" spans="1:11" ht="12.75">
      <c r="A141" s="54"/>
      <c r="B141" s="54"/>
      <c r="C141" s="54"/>
      <c r="D141" s="54"/>
      <c r="E141" s="54"/>
      <c r="F141" s="54"/>
      <c r="G141" s="54"/>
      <c r="H141" s="54"/>
      <c r="I141" s="54"/>
      <c r="J141" s="54"/>
      <c r="K141" s="54"/>
    </row>
    <row r="142" spans="1:11" ht="12.75">
      <c r="A142" s="54"/>
      <c r="B142" s="54"/>
      <c r="C142" s="54"/>
      <c r="D142" s="54"/>
      <c r="E142" s="54"/>
      <c r="F142" s="54"/>
      <c r="G142" s="54"/>
      <c r="H142" s="54"/>
      <c r="I142" s="54"/>
      <c r="J142" s="54"/>
      <c r="K142" s="54"/>
    </row>
    <row r="143" spans="1:11" ht="12.75">
      <c r="A143" s="54"/>
      <c r="B143" s="54"/>
      <c r="C143" s="54"/>
      <c r="D143" s="54"/>
      <c r="E143" s="54"/>
      <c r="F143" s="54"/>
      <c r="G143" s="54"/>
      <c r="H143" s="54"/>
      <c r="I143" s="54"/>
      <c r="J143" s="54"/>
      <c r="K143" s="54"/>
    </row>
    <row r="144" spans="1:11" ht="12.75">
      <c r="A144" s="54"/>
      <c r="B144" s="54"/>
      <c r="C144" s="54"/>
      <c r="D144" s="54"/>
      <c r="E144" s="54"/>
      <c r="F144" s="54"/>
      <c r="G144" s="54"/>
      <c r="H144" s="54"/>
      <c r="I144" s="54"/>
      <c r="J144" s="54"/>
      <c r="K144" s="54"/>
    </row>
    <row r="145" spans="1:11" ht="12.75">
      <c r="A145" s="54"/>
      <c r="B145" s="54"/>
      <c r="C145" s="54"/>
      <c r="D145" s="54"/>
      <c r="E145" s="54"/>
      <c r="F145" s="54"/>
      <c r="G145" s="54"/>
      <c r="H145" s="54"/>
      <c r="I145" s="54"/>
      <c r="J145" s="54"/>
      <c r="K145" s="54"/>
    </row>
    <row r="146" spans="1:11" ht="12.75">
      <c r="A146" s="54"/>
      <c r="B146" s="54"/>
      <c r="C146" s="54"/>
      <c r="D146" s="54"/>
      <c r="E146" s="54"/>
      <c r="F146" s="54"/>
      <c r="G146" s="54"/>
      <c r="H146" s="54"/>
      <c r="I146" s="54"/>
      <c r="J146" s="54"/>
      <c r="K146" s="54"/>
    </row>
    <row r="147" spans="1:11" ht="12.75">
      <c r="A147" s="54"/>
      <c r="B147" s="54"/>
      <c r="C147" s="54"/>
      <c r="D147" s="54"/>
      <c r="E147" s="54"/>
      <c r="F147" s="54"/>
      <c r="G147" s="54"/>
      <c r="H147" s="54"/>
      <c r="I147" s="54"/>
      <c r="J147" s="54"/>
      <c r="K147" s="54"/>
    </row>
    <row r="148" spans="1:11" ht="12.75">
      <c r="A148" s="54"/>
      <c r="B148" s="54"/>
      <c r="C148" s="54"/>
      <c r="D148" s="54"/>
      <c r="E148" s="54"/>
      <c r="F148" s="54"/>
      <c r="G148" s="54"/>
      <c r="H148" s="54"/>
      <c r="I148" s="54"/>
      <c r="J148" s="54"/>
      <c r="K148" s="54"/>
    </row>
    <row r="149" spans="1:11" ht="12.75">
      <c r="A149" s="54"/>
      <c r="B149" s="54"/>
      <c r="C149" s="54"/>
      <c r="D149" s="54"/>
      <c r="E149" s="54"/>
      <c r="F149" s="54"/>
      <c r="G149" s="54"/>
      <c r="H149" s="54"/>
      <c r="I149" s="54"/>
      <c r="J149" s="54"/>
      <c r="K149" s="54"/>
    </row>
    <row r="150" spans="1:11" ht="12.75">
      <c r="A150" s="54"/>
      <c r="B150" s="54"/>
      <c r="C150" s="54"/>
      <c r="D150" s="54"/>
      <c r="E150" s="54"/>
      <c r="F150" s="54"/>
      <c r="G150" s="54"/>
      <c r="H150" s="54"/>
      <c r="I150" s="54"/>
      <c r="J150" s="54"/>
      <c r="K150" s="54"/>
    </row>
    <row r="151" spans="1:11" ht="12.75">
      <c r="A151" s="54"/>
      <c r="B151" s="54"/>
      <c r="C151" s="54"/>
      <c r="D151" s="54"/>
      <c r="E151" s="54"/>
      <c r="F151" s="54"/>
      <c r="G151" s="54"/>
      <c r="H151" s="54"/>
      <c r="I151" s="54"/>
      <c r="J151" s="54"/>
      <c r="K151" s="54"/>
    </row>
    <row r="152" spans="1:11" ht="12.75">
      <c r="A152" s="54"/>
      <c r="B152" s="54"/>
      <c r="C152" s="54"/>
      <c r="D152" s="54"/>
      <c r="E152" s="54"/>
      <c r="F152" s="54"/>
      <c r="G152" s="54"/>
      <c r="H152" s="54"/>
      <c r="I152" s="54"/>
      <c r="J152" s="54"/>
      <c r="K152" s="54"/>
    </row>
    <row r="153" spans="1:11" ht="12.75">
      <c r="A153" s="54"/>
      <c r="B153" s="54"/>
      <c r="C153" s="54"/>
      <c r="D153" s="54"/>
      <c r="E153" s="54"/>
      <c r="F153" s="54"/>
      <c r="G153" s="54"/>
      <c r="H153" s="54"/>
      <c r="I153" s="54"/>
      <c r="J153" s="54"/>
      <c r="K153" s="54"/>
    </row>
    <row r="154" spans="1:11" ht="12.75">
      <c r="A154" s="54"/>
      <c r="B154" s="54"/>
      <c r="C154" s="54"/>
      <c r="D154" s="54"/>
      <c r="E154" s="54"/>
      <c r="F154" s="54"/>
      <c r="G154" s="54"/>
      <c r="H154" s="54"/>
      <c r="I154" s="54"/>
      <c r="J154" s="54"/>
      <c r="K154" s="54"/>
    </row>
    <row r="155" spans="1:11" ht="12.75">
      <c r="A155" s="54"/>
      <c r="B155" s="54"/>
      <c r="C155" s="54"/>
      <c r="D155" s="54"/>
      <c r="E155" s="54"/>
      <c r="F155" s="54"/>
      <c r="G155" s="54"/>
      <c r="H155" s="54"/>
      <c r="I155" s="54"/>
      <c r="J155" s="54"/>
      <c r="K155" s="54"/>
    </row>
    <row r="156" spans="1:11" ht="12.75">
      <c r="A156" s="54"/>
      <c r="B156" s="54"/>
      <c r="C156" s="54"/>
      <c r="D156" s="54"/>
      <c r="E156" s="54"/>
      <c r="F156" s="54"/>
      <c r="G156" s="54"/>
      <c r="H156" s="54"/>
      <c r="I156" s="54"/>
      <c r="J156" s="54"/>
      <c r="K156" s="54"/>
    </row>
    <row r="157" spans="1:11" ht="12.75">
      <c r="A157" s="54"/>
      <c r="B157" s="54"/>
      <c r="C157" s="54"/>
      <c r="D157" s="54"/>
      <c r="E157" s="54"/>
      <c r="F157" s="54"/>
      <c r="G157" s="54"/>
      <c r="H157" s="54"/>
      <c r="I157" s="54"/>
      <c r="J157" s="54"/>
      <c r="K157" s="54"/>
    </row>
    <row r="158" spans="1:11" ht="12.75">
      <c r="A158" s="54"/>
      <c r="B158" s="54"/>
      <c r="C158" s="54"/>
      <c r="D158" s="54"/>
      <c r="E158" s="54"/>
      <c r="F158" s="54"/>
      <c r="G158" s="54"/>
      <c r="H158" s="54"/>
      <c r="I158" s="54"/>
      <c r="J158" s="54"/>
      <c r="K158" s="54"/>
    </row>
    <row r="159" spans="1:11" ht="12.75">
      <c r="A159" s="54"/>
      <c r="B159" s="54"/>
      <c r="C159" s="54"/>
      <c r="D159" s="54"/>
      <c r="E159" s="54"/>
      <c r="F159" s="54"/>
      <c r="G159" s="54"/>
      <c r="H159" s="54"/>
      <c r="I159" s="54"/>
      <c r="J159" s="54"/>
      <c r="K159" s="54"/>
    </row>
    <row r="160" spans="1:11" ht="12.75">
      <c r="A160" s="54"/>
      <c r="B160" s="54"/>
      <c r="C160" s="54"/>
      <c r="D160" s="54"/>
      <c r="E160" s="54"/>
      <c r="F160" s="54"/>
      <c r="G160" s="54"/>
      <c r="H160" s="54"/>
      <c r="I160" s="54"/>
      <c r="J160" s="54"/>
      <c r="K160" s="54"/>
    </row>
    <row r="161" spans="1:11" ht="12.75">
      <c r="A161" s="54"/>
      <c r="B161" s="54"/>
      <c r="C161" s="54"/>
      <c r="D161" s="54"/>
      <c r="E161" s="54"/>
      <c r="F161" s="54"/>
      <c r="G161" s="54"/>
      <c r="H161" s="54"/>
      <c r="I161" s="54"/>
      <c r="J161" s="54"/>
      <c r="K161" s="54"/>
    </row>
    <row r="162" spans="1:11" ht="12.75">
      <c r="A162" s="54"/>
      <c r="B162" s="54"/>
      <c r="C162" s="54"/>
      <c r="D162" s="54"/>
      <c r="E162" s="54"/>
      <c r="F162" s="54"/>
      <c r="G162" s="54"/>
      <c r="H162" s="54"/>
      <c r="I162" s="54"/>
      <c r="J162" s="54"/>
      <c r="K162" s="54"/>
    </row>
    <row r="163" spans="1:11" ht="12.75">
      <c r="A163" s="54"/>
      <c r="B163" s="54"/>
      <c r="C163" s="54"/>
      <c r="D163" s="54"/>
      <c r="E163" s="54"/>
      <c r="F163" s="54"/>
      <c r="G163" s="54"/>
      <c r="H163" s="54"/>
      <c r="I163" s="54"/>
      <c r="J163" s="54"/>
      <c r="K163" s="54"/>
    </row>
    <row r="164" spans="1:11" ht="12.75">
      <c r="A164" s="54"/>
      <c r="B164" s="54"/>
      <c r="C164" s="54"/>
      <c r="D164" s="54"/>
      <c r="E164" s="54"/>
      <c r="F164" s="54"/>
      <c r="G164" s="54"/>
      <c r="H164" s="54"/>
      <c r="I164" s="54"/>
      <c r="J164" s="54"/>
      <c r="K164" s="54"/>
    </row>
    <row r="165" spans="1:11" ht="12.75">
      <c r="A165" s="54"/>
      <c r="B165" s="54"/>
      <c r="C165" s="54"/>
      <c r="D165" s="54"/>
      <c r="E165" s="54"/>
      <c r="F165" s="54"/>
      <c r="G165" s="54"/>
      <c r="H165" s="54"/>
      <c r="I165" s="54"/>
      <c r="J165" s="54"/>
      <c r="K165" s="54"/>
    </row>
    <row r="166" spans="1:11" ht="12.75">
      <c r="A166" s="54"/>
      <c r="B166" s="54"/>
      <c r="C166" s="54"/>
      <c r="D166" s="54"/>
      <c r="E166" s="54"/>
      <c r="F166" s="54"/>
      <c r="G166" s="54"/>
      <c r="H166" s="54"/>
      <c r="I166" s="54"/>
      <c r="J166" s="54"/>
      <c r="K166" s="54"/>
    </row>
    <row r="167" spans="1:11" ht="12.75">
      <c r="A167" s="54"/>
      <c r="B167" s="54"/>
      <c r="C167" s="54"/>
      <c r="D167" s="54"/>
      <c r="E167" s="54"/>
      <c r="F167" s="54"/>
      <c r="G167" s="54"/>
      <c r="H167" s="54"/>
      <c r="I167" s="54"/>
      <c r="J167" s="54"/>
      <c r="K167" s="54"/>
    </row>
    <row r="168" spans="1:11" ht="12.75">
      <c r="A168" s="54"/>
      <c r="B168" s="54"/>
      <c r="C168" s="54"/>
      <c r="D168" s="54"/>
      <c r="E168" s="54"/>
      <c r="F168" s="54"/>
      <c r="G168" s="54"/>
      <c r="H168" s="54"/>
      <c r="I168" s="54"/>
      <c r="J168" s="54"/>
      <c r="K168" s="54"/>
    </row>
    <row r="169" spans="1:11" ht="12.75">
      <c r="A169" s="54"/>
      <c r="B169" s="54"/>
      <c r="C169" s="54"/>
      <c r="D169" s="54"/>
      <c r="E169" s="54"/>
      <c r="F169" s="54"/>
      <c r="G169" s="54"/>
      <c r="H169" s="54"/>
      <c r="I169" s="54"/>
      <c r="J169" s="54"/>
      <c r="K169" s="54"/>
    </row>
    <row r="170" spans="1:11" ht="12.75">
      <c r="A170" s="54"/>
      <c r="B170" s="54"/>
      <c r="C170" s="54"/>
      <c r="D170" s="54"/>
      <c r="E170" s="54"/>
      <c r="F170" s="54"/>
      <c r="G170" s="54"/>
      <c r="H170" s="54"/>
      <c r="I170" s="54"/>
      <c r="J170" s="54"/>
      <c r="K170" s="54"/>
    </row>
    <row r="171" spans="1:11" ht="12.75">
      <c r="A171" s="54"/>
      <c r="B171" s="54"/>
      <c r="C171" s="54"/>
      <c r="D171" s="54"/>
      <c r="E171" s="54"/>
      <c r="F171" s="54"/>
      <c r="G171" s="54"/>
      <c r="H171" s="54"/>
      <c r="I171" s="54"/>
      <c r="J171" s="54"/>
      <c r="K171" s="54"/>
    </row>
    <row r="172" spans="1:11" ht="12.75">
      <c r="A172" s="54"/>
      <c r="B172" s="54"/>
      <c r="C172" s="54"/>
      <c r="D172" s="54"/>
      <c r="E172" s="54"/>
      <c r="F172" s="54"/>
      <c r="G172" s="54"/>
      <c r="H172" s="54"/>
      <c r="I172" s="54"/>
      <c r="J172" s="54"/>
      <c r="K172" s="54"/>
    </row>
    <row r="173" spans="1:11" ht="12.75">
      <c r="A173" s="54"/>
      <c r="B173" s="54"/>
      <c r="C173" s="54"/>
      <c r="D173" s="54"/>
      <c r="E173" s="54"/>
      <c r="F173" s="54"/>
      <c r="G173" s="54"/>
      <c r="H173" s="54"/>
      <c r="I173" s="54"/>
      <c r="J173" s="54"/>
      <c r="K173" s="54"/>
    </row>
    <row r="174" spans="1:11" ht="12.75">
      <c r="A174" s="54"/>
      <c r="B174" s="54"/>
      <c r="C174" s="54"/>
      <c r="D174" s="54"/>
      <c r="E174" s="54"/>
      <c r="F174" s="54"/>
      <c r="G174" s="54"/>
      <c r="H174" s="54"/>
      <c r="I174" s="54"/>
      <c r="J174" s="54"/>
      <c r="K174" s="54"/>
    </row>
    <row r="175" spans="1:11" ht="12.75">
      <c r="A175" s="54"/>
      <c r="B175" s="54"/>
      <c r="C175" s="54"/>
      <c r="D175" s="54"/>
      <c r="E175" s="54"/>
      <c r="F175" s="54"/>
      <c r="G175" s="54"/>
      <c r="H175" s="54"/>
      <c r="I175" s="54"/>
      <c r="J175" s="54"/>
      <c r="K175" s="54"/>
    </row>
    <row r="176" spans="1:11" ht="12.75">
      <c r="A176" s="54"/>
      <c r="B176" s="54"/>
      <c r="C176" s="54"/>
      <c r="D176" s="54"/>
      <c r="E176" s="54"/>
      <c r="F176" s="54"/>
      <c r="G176" s="54"/>
      <c r="H176" s="54"/>
      <c r="I176" s="54"/>
      <c r="J176" s="54"/>
      <c r="K176" s="54"/>
    </row>
    <row r="177" spans="1:11" ht="12.75">
      <c r="A177" s="54"/>
      <c r="B177" s="54"/>
      <c r="C177" s="54"/>
      <c r="D177" s="54"/>
      <c r="E177" s="54"/>
      <c r="F177" s="54"/>
      <c r="G177" s="54"/>
      <c r="H177" s="54"/>
      <c r="I177" s="54"/>
      <c r="J177" s="54"/>
      <c r="K177" s="54"/>
    </row>
    <row r="178" spans="1:11" ht="12.75">
      <c r="A178" s="54"/>
      <c r="B178" s="54"/>
      <c r="C178" s="54"/>
      <c r="D178" s="54"/>
      <c r="E178" s="54"/>
      <c r="F178" s="54"/>
      <c r="G178" s="54"/>
      <c r="H178" s="54"/>
      <c r="I178" s="54"/>
      <c r="J178" s="54"/>
      <c r="K178" s="54"/>
    </row>
    <row r="179" spans="1:11" ht="12.75">
      <c r="A179" s="54"/>
      <c r="B179" s="54"/>
      <c r="C179" s="54"/>
      <c r="D179" s="54"/>
      <c r="E179" s="54"/>
      <c r="F179" s="54"/>
      <c r="G179" s="54"/>
      <c r="H179" s="54"/>
      <c r="I179" s="54"/>
      <c r="J179" s="54"/>
      <c r="K179" s="54"/>
    </row>
    <row r="180" spans="1:11" ht="12.75">
      <c r="A180" s="54"/>
      <c r="B180" s="54"/>
      <c r="C180" s="54"/>
      <c r="D180" s="54"/>
      <c r="E180" s="54"/>
      <c r="F180" s="54"/>
      <c r="G180" s="54"/>
      <c r="H180" s="54"/>
      <c r="I180" s="54"/>
      <c r="J180" s="54"/>
      <c r="K180" s="54"/>
    </row>
    <row r="181" spans="1:11" ht="12.75">
      <c r="A181" s="54"/>
      <c r="B181" s="54"/>
      <c r="C181" s="54"/>
      <c r="D181" s="54"/>
      <c r="E181" s="54"/>
      <c r="F181" s="54"/>
      <c r="G181" s="54"/>
      <c r="H181" s="54"/>
      <c r="I181" s="54"/>
      <c r="J181" s="54"/>
      <c r="K181" s="54"/>
    </row>
    <row r="182" spans="1:11" ht="12.75">
      <c r="A182" s="54"/>
      <c r="B182" s="54"/>
      <c r="C182" s="54"/>
      <c r="D182" s="54"/>
      <c r="E182" s="54"/>
      <c r="F182" s="54"/>
      <c r="G182" s="54"/>
      <c r="H182" s="54"/>
      <c r="I182" s="54"/>
      <c r="J182" s="54"/>
      <c r="K182" s="54"/>
    </row>
    <row r="183" spans="1:11" ht="12.75">
      <c r="A183" s="54"/>
      <c r="B183" s="54"/>
      <c r="C183" s="54"/>
      <c r="D183" s="54"/>
      <c r="E183" s="54"/>
      <c r="F183" s="54"/>
      <c r="G183" s="54"/>
      <c r="H183" s="54"/>
      <c r="I183" s="54"/>
      <c r="J183" s="54"/>
      <c r="K183" s="54"/>
    </row>
    <row r="184" spans="1:11" ht="12.75">
      <c r="A184" s="54"/>
      <c r="B184" s="54"/>
      <c r="C184" s="54"/>
      <c r="D184" s="54"/>
      <c r="E184" s="54"/>
      <c r="F184" s="54"/>
      <c r="G184" s="54"/>
      <c r="H184" s="54"/>
      <c r="I184" s="54"/>
      <c r="J184" s="54"/>
      <c r="K184" s="54"/>
    </row>
    <row r="185" spans="1:11" ht="12.75">
      <c r="A185" s="54"/>
      <c r="B185" s="54"/>
      <c r="C185" s="54"/>
      <c r="D185" s="54"/>
      <c r="E185" s="54"/>
      <c r="F185" s="54"/>
      <c r="G185" s="54"/>
      <c r="H185" s="54"/>
      <c r="I185" s="54"/>
      <c r="J185" s="54"/>
      <c r="K185" s="54"/>
    </row>
  </sheetData>
  <sheetProtection/>
  <printOptions horizontalCentered="1" verticalCentered="1"/>
  <pageMargins left="0.75" right="0.75" top="1" bottom="1" header="0" footer="0"/>
  <pageSetup horizontalDpi="300" verticalDpi="300" orientation="landscape" scale="75" r:id="rId1"/>
</worksheet>
</file>

<file path=xl/worksheets/sheet6.xml><?xml version="1.0" encoding="utf-8"?>
<worksheet xmlns="http://schemas.openxmlformats.org/spreadsheetml/2006/main" xmlns:r="http://schemas.openxmlformats.org/officeDocument/2006/relationships">
  <dimension ref="A1:J43"/>
  <sheetViews>
    <sheetView zoomScalePageLayoutView="0" workbookViewId="0" topLeftCell="A1">
      <selection activeCell="A1" sqref="A1:I1"/>
    </sheetView>
  </sheetViews>
  <sheetFormatPr defaultColWidth="11.421875" defaultRowHeight="12.75"/>
  <cols>
    <col min="1" max="1" width="53.421875" style="54" bestFit="1" customWidth="1"/>
    <col min="2" max="2" width="6.8515625" style="54" customWidth="1"/>
    <col min="3" max="3" width="13.140625" style="54" bestFit="1" customWidth="1"/>
    <col min="4" max="4" width="20.140625" style="54" bestFit="1" customWidth="1"/>
    <col min="5" max="5" width="16.28125" style="54" customWidth="1"/>
    <col min="6" max="6" width="12.8515625" style="54" customWidth="1"/>
    <col min="7" max="7" width="14.57421875" style="54" customWidth="1"/>
    <col min="8" max="8" width="18.57421875" style="54" customWidth="1"/>
    <col min="9" max="9" width="12.140625" style="54" bestFit="1" customWidth="1"/>
    <col min="10" max="10" width="14.28125" style="54" bestFit="1" customWidth="1"/>
    <col min="11" max="16384" width="11.421875" style="54" customWidth="1"/>
  </cols>
  <sheetData>
    <row r="1" spans="1:9" ht="28.5" customHeight="1">
      <c r="A1" s="478" t="s">
        <v>139</v>
      </c>
      <c r="B1" s="479"/>
      <c r="C1" s="479"/>
      <c r="D1" s="479"/>
      <c r="E1" s="479"/>
      <c r="F1" s="479"/>
      <c r="G1" s="479"/>
      <c r="H1" s="479"/>
      <c r="I1" s="479"/>
    </row>
    <row r="2" spans="1:8" ht="15.75" thickBot="1">
      <c r="A2" s="55"/>
      <c r="B2" s="56"/>
      <c r="C2" s="56"/>
      <c r="D2" s="56"/>
      <c r="E2" s="56"/>
      <c r="F2" s="56"/>
      <c r="G2" s="56"/>
      <c r="H2" s="56"/>
    </row>
    <row r="3" spans="1:8" s="58" customFormat="1" ht="14.25">
      <c r="A3" s="201" t="s">
        <v>118</v>
      </c>
      <c r="B3" s="40" t="s">
        <v>119</v>
      </c>
      <c r="C3" s="186" t="s">
        <v>120</v>
      </c>
      <c r="D3" s="40" t="s">
        <v>120</v>
      </c>
      <c r="E3" s="40" t="s">
        <v>140</v>
      </c>
      <c r="F3" s="40" t="s">
        <v>121</v>
      </c>
      <c r="G3" s="40" t="s">
        <v>140</v>
      </c>
      <c r="H3" s="57" t="s">
        <v>141</v>
      </c>
    </row>
    <row r="4" spans="1:8" s="58" customFormat="1" ht="15" customHeight="1" thickBot="1">
      <c r="A4" s="55"/>
      <c r="B4" s="59"/>
      <c r="C4" s="187" t="s">
        <v>199</v>
      </c>
      <c r="D4" s="59" t="s">
        <v>94</v>
      </c>
      <c r="E4" s="41" t="s">
        <v>142</v>
      </c>
      <c r="F4" s="41" t="s">
        <v>99</v>
      </c>
      <c r="G4" s="41" t="s">
        <v>99</v>
      </c>
      <c r="H4" s="60" t="s">
        <v>93</v>
      </c>
    </row>
    <row r="5" spans="1:10" s="58" customFormat="1" ht="15" customHeight="1" thickBot="1">
      <c r="A5" s="61" t="s">
        <v>122</v>
      </c>
      <c r="B5" s="62">
        <f>+B6+B7+B8+B9+B10</f>
        <v>5</v>
      </c>
      <c r="C5" s="217">
        <f aca="true" t="shared" si="0" ref="C5:H5">SUM(C6:C10)</f>
        <v>19000000</v>
      </c>
      <c r="D5" s="218">
        <f t="shared" si="0"/>
        <v>19000000</v>
      </c>
      <c r="E5" s="62">
        <f t="shared" si="0"/>
        <v>760000</v>
      </c>
      <c r="F5" s="63">
        <f t="shared" si="0"/>
        <v>3040000</v>
      </c>
      <c r="G5" s="64">
        <f t="shared" si="0"/>
        <v>22800000</v>
      </c>
      <c r="H5" s="65">
        <f t="shared" si="0"/>
        <v>273600000</v>
      </c>
      <c r="J5" s="66"/>
    </row>
    <row r="6" spans="1:10" s="58" customFormat="1" ht="15" customHeight="1">
      <c r="A6" s="202" t="s">
        <v>58</v>
      </c>
      <c r="B6" s="209">
        <v>1</v>
      </c>
      <c r="C6" s="194">
        <v>3800000</v>
      </c>
      <c r="D6" s="67">
        <v>3800000</v>
      </c>
      <c r="E6" s="68">
        <f>+D6*0.04</f>
        <v>152000</v>
      </c>
      <c r="F6" s="69">
        <f>+D6*0.16</f>
        <v>608000</v>
      </c>
      <c r="G6" s="69">
        <f>+F6+E6+D6</f>
        <v>4560000</v>
      </c>
      <c r="H6" s="70">
        <f>+G6*12</f>
        <v>54720000</v>
      </c>
      <c r="J6" s="66"/>
    </row>
    <row r="7" spans="1:8" s="58" customFormat="1" ht="15" customHeight="1">
      <c r="A7" s="203" t="s">
        <v>123</v>
      </c>
      <c r="B7" s="210">
        <v>1</v>
      </c>
      <c r="C7" s="196">
        <v>3800000</v>
      </c>
      <c r="D7" s="67">
        <v>3800000</v>
      </c>
      <c r="E7" s="68">
        <f>+D7*0.04</f>
        <v>152000</v>
      </c>
      <c r="F7" s="69">
        <f>+D7*0.16</f>
        <v>608000</v>
      </c>
      <c r="G7" s="69">
        <f>+F7+E7+D7</f>
        <v>4560000</v>
      </c>
      <c r="H7" s="68">
        <f>+G7*12</f>
        <v>54720000</v>
      </c>
    </row>
    <row r="8" spans="1:8" s="58" customFormat="1" ht="15" customHeight="1">
      <c r="A8" s="203" t="s">
        <v>32</v>
      </c>
      <c r="B8" s="210">
        <v>1</v>
      </c>
      <c r="C8" s="196">
        <v>3800000</v>
      </c>
      <c r="D8" s="67">
        <v>3800000</v>
      </c>
      <c r="E8" s="68">
        <f>+D8*0.04</f>
        <v>152000</v>
      </c>
      <c r="F8" s="69">
        <f>+D8*0.16</f>
        <v>608000</v>
      </c>
      <c r="G8" s="69">
        <f>+F8+E8+D8</f>
        <v>4560000</v>
      </c>
      <c r="H8" s="68">
        <f>+G8*12</f>
        <v>54720000</v>
      </c>
    </row>
    <row r="9" spans="1:8" s="58" customFormat="1" ht="15" customHeight="1">
      <c r="A9" s="203" t="s">
        <v>33</v>
      </c>
      <c r="B9" s="210">
        <v>1</v>
      </c>
      <c r="C9" s="196">
        <v>3800000</v>
      </c>
      <c r="D9" s="67">
        <v>3800000</v>
      </c>
      <c r="E9" s="68">
        <f>+D9*0.04</f>
        <v>152000</v>
      </c>
      <c r="F9" s="69">
        <f>+D9*0.16</f>
        <v>608000</v>
      </c>
      <c r="G9" s="69">
        <f>+F9+E9+D9</f>
        <v>4560000</v>
      </c>
      <c r="H9" s="68">
        <f>+G9*12</f>
        <v>54720000</v>
      </c>
    </row>
    <row r="10" spans="1:8" s="72" customFormat="1" ht="15" customHeight="1" thickBot="1">
      <c r="A10" s="204" t="s">
        <v>26</v>
      </c>
      <c r="B10" s="215">
        <v>1</v>
      </c>
      <c r="C10" s="195">
        <v>3800000</v>
      </c>
      <c r="D10" s="67">
        <v>3800000</v>
      </c>
      <c r="E10" s="68">
        <f>+D10*0.04</f>
        <v>152000</v>
      </c>
      <c r="F10" s="69">
        <f>+D10*0.16</f>
        <v>608000</v>
      </c>
      <c r="G10" s="69">
        <f>+F10+E10+D10</f>
        <v>4560000</v>
      </c>
      <c r="H10" s="68">
        <f>+G10*12</f>
        <v>54720000</v>
      </c>
    </row>
    <row r="11" spans="1:8" s="72" customFormat="1" ht="15" customHeight="1" thickBot="1">
      <c r="A11" s="73" t="s">
        <v>124</v>
      </c>
      <c r="B11" s="62">
        <f aca="true" t="shared" si="1" ref="B11:H11">SUM(B12:B17)</f>
        <v>6</v>
      </c>
      <c r="C11" s="197">
        <f t="shared" si="1"/>
        <v>16000000</v>
      </c>
      <c r="D11" s="62">
        <f t="shared" si="1"/>
        <v>16000000</v>
      </c>
      <c r="E11" s="62">
        <f t="shared" si="1"/>
        <v>640000</v>
      </c>
      <c r="F11" s="74">
        <f t="shared" si="1"/>
        <v>2560000</v>
      </c>
      <c r="G11" s="75">
        <f t="shared" si="1"/>
        <v>19200000</v>
      </c>
      <c r="H11" s="62">
        <f t="shared" si="1"/>
        <v>230400000</v>
      </c>
    </row>
    <row r="12" spans="1:8" s="72" customFormat="1" ht="15" customHeight="1">
      <c r="A12" s="205" t="s">
        <v>125</v>
      </c>
      <c r="B12" s="211">
        <v>1</v>
      </c>
      <c r="C12" s="188">
        <v>3000000</v>
      </c>
      <c r="D12" s="68">
        <v>3000000</v>
      </c>
      <c r="E12" s="68">
        <f aca="true" t="shared" si="2" ref="E12:E17">+D12*0.04</f>
        <v>120000</v>
      </c>
      <c r="F12" s="69">
        <f aca="true" t="shared" si="3" ref="F12:F17">+D12*0.16</f>
        <v>480000</v>
      </c>
      <c r="G12" s="69">
        <f aca="true" t="shared" si="4" ref="G12:G17">+F12+E12+D12</f>
        <v>3600000</v>
      </c>
      <c r="H12" s="68">
        <f aca="true" t="shared" si="5" ref="H12:H17">(+D12+E12+F12)*12</f>
        <v>43200000</v>
      </c>
    </row>
    <row r="13" spans="1:8" s="72" customFormat="1" ht="15" customHeight="1">
      <c r="A13" s="206" t="s">
        <v>37</v>
      </c>
      <c r="B13" s="212">
        <v>1</v>
      </c>
      <c r="C13" s="188">
        <v>3000000</v>
      </c>
      <c r="D13" s="68">
        <v>3000000</v>
      </c>
      <c r="E13" s="68">
        <f t="shared" si="2"/>
        <v>120000</v>
      </c>
      <c r="F13" s="69">
        <f t="shared" si="3"/>
        <v>480000</v>
      </c>
      <c r="G13" s="69">
        <f t="shared" si="4"/>
        <v>3600000</v>
      </c>
      <c r="H13" s="68">
        <f t="shared" si="5"/>
        <v>43200000</v>
      </c>
    </row>
    <row r="14" spans="1:8" s="72" customFormat="1" ht="15" customHeight="1">
      <c r="A14" s="206" t="s">
        <v>35</v>
      </c>
      <c r="B14" s="212">
        <v>1</v>
      </c>
      <c r="C14" s="188">
        <v>2500000</v>
      </c>
      <c r="D14" s="68">
        <v>2500000</v>
      </c>
      <c r="E14" s="68">
        <f t="shared" si="2"/>
        <v>100000</v>
      </c>
      <c r="F14" s="69">
        <f t="shared" si="3"/>
        <v>400000</v>
      </c>
      <c r="G14" s="69">
        <f t="shared" si="4"/>
        <v>3000000</v>
      </c>
      <c r="H14" s="68">
        <f t="shared" si="5"/>
        <v>36000000</v>
      </c>
    </row>
    <row r="15" spans="1:8" s="72" customFormat="1" ht="15" customHeight="1">
      <c r="A15" s="205" t="s">
        <v>27</v>
      </c>
      <c r="B15" s="211">
        <v>1</v>
      </c>
      <c r="C15" s="188">
        <v>2500000</v>
      </c>
      <c r="D15" s="68">
        <v>2500000</v>
      </c>
      <c r="E15" s="68">
        <f t="shared" si="2"/>
        <v>100000</v>
      </c>
      <c r="F15" s="69">
        <f t="shared" si="3"/>
        <v>400000</v>
      </c>
      <c r="G15" s="69">
        <f t="shared" si="4"/>
        <v>3000000</v>
      </c>
      <c r="H15" s="68">
        <f t="shared" si="5"/>
        <v>36000000</v>
      </c>
    </row>
    <row r="16" spans="1:8" s="72" customFormat="1" ht="15" customHeight="1">
      <c r="A16" s="205" t="s">
        <v>126</v>
      </c>
      <c r="B16" s="211">
        <v>1</v>
      </c>
      <c r="C16" s="188">
        <v>2500000</v>
      </c>
      <c r="D16" s="68">
        <v>2500000</v>
      </c>
      <c r="E16" s="68">
        <f t="shared" si="2"/>
        <v>100000</v>
      </c>
      <c r="F16" s="69">
        <f t="shared" si="3"/>
        <v>400000</v>
      </c>
      <c r="G16" s="69">
        <f t="shared" si="4"/>
        <v>3000000</v>
      </c>
      <c r="H16" s="68">
        <f t="shared" si="5"/>
        <v>36000000</v>
      </c>
    </row>
    <row r="17" spans="1:8" s="72" customFormat="1" ht="15" customHeight="1" thickBot="1">
      <c r="A17" s="200" t="s">
        <v>36</v>
      </c>
      <c r="B17" s="213">
        <v>1</v>
      </c>
      <c r="C17" s="188">
        <v>2500000</v>
      </c>
      <c r="D17" s="68">
        <v>2500000</v>
      </c>
      <c r="E17" s="68">
        <f t="shared" si="2"/>
        <v>100000</v>
      </c>
      <c r="F17" s="69">
        <f t="shared" si="3"/>
        <v>400000</v>
      </c>
      <c r="G17" s="69">
        <f t="shared" si="4"/>
        <v>3000000</v>
      </c>
      <c r="H17" s="68">
        <f t="shared" si="5"/>
        <v>36000000</v>
      </c>
    </row>
    <row r="18" spans="1:8" s="72" customFormat="1" ht="15" customHeight="1" thickBot="1">
      <c r="A18" s="73" t="s">
        <v>127</v>
      </c>
      <c r="B18" s="62">
        <f>+B19+B20+B22+B24</f>
        <v>22</v>
      </c>
      <c r="C18" s="197">
        <f aca="true" t="shared" si="6" ref="C18:H18">SUM(C19:C24)</f>
        <v>7580000</v>
      </c>
      <c r="D18" s="218">
        <f t="shared" si="6"/>
        <v>43540000</v>
      </c>
      <c r="E18" s="62">
        <f t="shared" si="6"/>
        <v>1521600</v>
      </c>
      <c r="F18" s="74">
        <f t="shared" si="6"/>
        <v>6086400</v>
      </c>
      <c r="G18" s="75">
        <f t="shared" si="6"/>
        <v>51148000</v>
      </c>
      <c r="H18" s="62">
        <f t="shared" si="6"/>
        <v>613776000</v>
      </c>
    </row>
    <row r="19" spans="1:8" s="72" customFormat="1" ht="15" customHeight="1">
      <c r="A19" s="207" t="s">
        <v>128</v>
      </c>
      <c r="B19" s="214">
        <v>6</v>
      </c>
      <c r="C19" s="189">
        <v>1800000</v>
      </c>
      <c r="D19" s="70">
        <f aca="true" t="shared" si="7" ref="D19:D24">+C19*B19</f>
        <v>10800000</v>
      </c>
      <c r="E19" s="68">
        <f aca="true" t="shared" si="8" ref="E19:E24">+D19*0.04</f>
        <v>432000</v>
      </c>
      <c r="F19" s="69">
        <f>+D19*0.16</f>
        <v>1728000</v>
      </c>
      <c r="G19" s="69">
        <f aca="true" t="shared" si="9" ref="G19:G24">+F19+E19+D19</f>
        <v>12960000</v>
      </c>
      <c r="H19" s="68">
        <f aca="true" t="shared" si="10" ref="H19:H24">+G19*12</f>
        <v>155520000</v>
      </c>
    </row>
    <row r="20" spans="1:8" s="72" customFormat="1" ht="15" customHeight="1">
      <c r="A20" s="205" t="s">
        <v>143</v>
      </c>
      <c r="B20" s="211">
        <v>10</v>
      </c>
      <c r="C20" s="188">
        <v>1800000</v>
      </c>
      <c r="D20" s="68">
        <f t="shared" si="7"/>
        <v>18000000</v>
      </c>
      <c r="E20" s="68">
        <f t="shared" si="8"/>
        <v>720000</v>
      </c>
      <c r="F20" s="219">
        <f>+D20*16%</f>
        <v>2880000</v>
      </c>
      <c r="G20" s="69">
        <f t="shared" si="9"/>
        <v>21600000</v>
      </c>
      <c r="H20" s="68">
        <f t="shared" si="10"/>
        <v>259200000</v>
      </c>
    </row>
    <row r="21" spans="1:8" s="72" customFormat="1" ht="15" customHeight="1">
      <c r="A21" s="205" t="s">
        <v>196</v>
      </c>
      <c r="B21" s="211">
        <v>10</v>
      </c>
      <c r="C21" s="188">
        <v>400000</v>
      </c>
      <c r="D21" s="68">
        <f t="shared" si="7"/>
        <v>4000000</v>
      </c>
      <c r="E21" s="68">
        <v>0</v>
      </c>
      <c r="F21" s="69">
        <v>0</v>
      </c>
      <c r="G21" s="69">
        <f>+F21+E21+D21</f>
        <v>4000000</v>
      </c>
      <c r="H21" s="68">
        <f t="shared" si="10"/>
        <v>48000000</v>
      </c>
    </row>
    <row r="22" spans="1:8" s="72" customFormat="1" ht="15" customHeight="1">
      <c r="A22" s="205" t="s">
        <v>129</v>
      </c>
      <c r="B22" s="211">
        <v>3</v>
      </c>
      <c r="C22" s="188">
        <v>1380000</v>
      </c>
      <c r="D22" s="68">
        <f t="shared" si="7"/>
        <v>4140000</v>
      </c>
      <c r="E22" s="68">
        <f t="shared" si="8"/>
        <v>165600</v>
      </c>
      <c r="F22" s="69">
        <f>+D22*16%</f>
        <v>662400</v>
      </c>
      <c r="G22" s="69">
        <f t="shared" si="9"/>
        <v>4968000</v>
      </c>
      <c r="H22" s="68">
        <f t="shared" si="10"/>
        <v>59616000</v>
      </c>
    </row>
    <row r="23" spans="1:8" s="72" customFormat="1" ht="15" customHeight="1">
      <c r="A23" s="200" t="s">
        <v>197</v>
      </c>
      <c r="B23" s="213">
        <v>3</v>
      </c>
      <c r="C23" s="188">
        <v>500000</v>
      </c>
      <c r="D23" s="68">
        <f t="shared" si="7"/>
        <v>1500000</v>
      </c>
      <c r="E23" s="68">
        <v>0</v>
      </c>
      <c r="F23" s="69">
        <v>0</v>
      </c>
      <c r="G23" s="69">
        <f>+F23+E23+D23</f>
        <v>1500000</v>
      </c>
      <c r="H23" s="68">
        <f t="shared" si="10"/>
        <v>18000000</v>
      </c>
    </row>
    <row r="24" spans="1:8" s="72" customFormat="1" ht="15" customHeight="1" thickBot="1">
      <c r="A24" s="204" t="s">
        <v>130</v>
      </c>
      <c r="B24" s="215">
        <v>3</v>
      </c>
      <c r="C24" s="190">
        <v>1700000</v>
      </c>
      <c r="D24" s="71">
        <f t="shared" si="7"/>
        <v>5100000</v>
      </c>
      <c r="E24" s="68">
        <f t="shared" si="8"/>
        <v>204000</v>
      </c>
      <c r="F24" s="69">
        <f>+D24*0.16</f>
        <v>816000</v>
      </c>
      <c r="G24" s="69">
        <f t="shared" si="9"/>
        <v>6120000</v>
      </c>
      <c r="H24" s="68">
        <f t="shared" si="10"/>
        <v>73440000</v>
      </c>
    </row>
    <row r="25" spans="1:8" s="72" customFormat="1" ht="15" customHeight="1" thickBot="1">
      <c r="A25" s="73" t="s">
        <v>131</v>
      </c>
      <c r="B25" s="62">
        <f aca="true" t="shared" si="11" ref="B25:H25">SUM(B26:B38)</f>
        <v>13</v>
      </c>
      <c r="C25" s="197">
        <f t="shared" si="11"/>
        <v>12700000</v>
      </c>
      <c r="D25" s="218">
        <f t="shared" si="11"/>
        <v>12700000</v>
      </c>
      <c r="E25" s="62">
        <f t="shared" si="11"/>
        <v>508000</v>
      </c>
      <c r="F25" s="74">
        <f t="shared" si="11"/>
        <v>2032000</v>
      </c>
      <c r="G25" s="74">
        <f t="shared" si="11"/>
        <v>15240000</v>
      </c>
      <c r="H25" s="62">
        <f t="shared" si="11"/>
        <v>182880000</v>
      </c>
    </row>
    <row r="26" spans="1:8" s="72" customFormat="1" ht="15" customHeight="1" thickBot="1">
      <c r="A26" s="208" t="s">
        <v>112</v>
      </c>
      <c r="B26" s="216">
        <v>1</v>
      </c>
      <c r="C26" s="191">
        <v>2000000</v>
      </c>
      <c r="D26" s="76">
        <f aca="true" t="shared" si="12" ref="D26:D38">+C26*B26</f>
        <v>2000000</v>
      </c>
      <c r="E26" s="76">
        <f aca="true" t="shared" si="13" ref="E26:E38">+D26*0.04</f>
        <v>80000</v>
      </c>
      <c r="F26" s="77">
        <f aca="true" t="shared" si="14" ref="F26:F38">+D26*0.16</f>
        <v>320000</v>
      </c>
      <c r="G26" s="78">
        <f aca="true" t="shared" si="15" ref="G26:G38">+F26+E26+D26</f>
        <v>2400000</v>
      </c>
      <c r="H26" s="76">
        <f aca="true" t="shared" si="16" ref="H26:H38">(+D26+E26+F26)*12</f>
        <v>28800000</v>
      </c>
    </row>
    <row r="27" spans="1:8" s="72" customFormat="1" ht="15" customHeight="1">
      <c r="A27" s="206" t="s">
        <v>111</v>
      </c>
      <c r="B27" s="212">
        <v>1</v>
      </c>
      <c r="C27" s="189">
        <v>1300000</v>
      </c>
      <c r="D27" s="79">
        <f t="shared" si="12"/>
        <v>1300000</v>
      </c>
      <c r="E27" s="70">
        <f t="shared" si="13"/>
        <v>52000</v>
      </c>
      <c r="F27" s="79">
        <f t="shared" si="14"/>
        <v>208000</v>
      </c>
      <c r="G27" s="80">
        <f t="shared" si="15"/>
        <v>1560000</v>
      </c>
      <c r="H27" s="70">
        <f t="shared" si="16"/>
        <v>18720000</v>
      </c>
    </row>
    <row r="28" spans="1:8" s="72" customFormat="1" ht="15" customHeight="1">
      <c r="A28" s="205" t="s">
        <v>110</v>
      </c>
      <c r="B28" s="211">
        <v>1</v>
      </c>
      <c r="C28" s="188">
        <v>1300000</v>
      </c>
      <c r="D28" s="67">
        <f t="shared" si="12"/>
        <v>1300000</v>
      </c>
      <c r="E28" s="68">
        <f t="shared" si="13"/>
        <v>52000</v>
      </c>
      <c r="F28" s="67">
        <f t="shared" si="14"/>
        <v>208000</v>
      </c>
      <c r="G28" s="69">
        <f t="shared" si="15"/>
        <v>1560000</v>
      </c>
      <c r="H28" s="68">
        <f t="shared" si="16"/>
        <v>18720000</v>
      </c>
    </row>
    <row r="29" spans="1:8" s="72" customFormat="1" ht="15" customHeight="1" thickBot="1">
      <c r="A29" s="204" t="s">
        <v>132</v>
      </c>
      <c r="B29" s="215">
        <v>1</v>
      </c>
      <c r="C29" s="190">
        <v>1300000</v>
      </c>
      <c r="D29" s="67">
        <f t="shared" si="12"/>
        <v>1300000</v>
      </c>
      <c r="E29" s="71">
        <f t="shared" si="13"/>
        <v>52000</v>
      </c>
      <c r="F29" s="81">
        <f t="shared" si="14"/>
        <v>208000</v>
      </c>
      <c r="G29" s="82">
        <f t="shared" si="15"/>
        <v>1560000</v>
      </c>
      <c r="H29" s="71">
        <f t="shared" si="16"/>
        <v>18720000</v>
      </c>
    </row>
    <row r="30" spans="1:8" s="72" customFormat="1" ht="15" customHeight="1">
      <c r="A30" s="206" t="s">
        <v>133</v>
      </c>
      <c r="B30" s="212">
        <v>1</v>
      </c>
      <c r="C30" s="192">
        <v>900000</v>
      </c>
      <c r="D30" s="70">
        <f t="shared" si="12"/>
        <v>900000</v>
      </c>
      <c r="E30" s="70">
        <f t="shared" si="13"/>
        <v>36000</v>
      </c>
      <c r="F30" s="79">
        <f t="shared" si="14"/>
        <v>144000</v>
      </c>
      <c r="G30" s="80">
        <f t="shared" si="15"/>
        <v>1080000</v>
      </c>
      <c r="H30" s="70">
        <f t="shared" si="16"/>
        <v>12960000</v>
      </c>
    </row>
    <row r="31" spans="1:8" s="72" customFormat="1" ht="15" customHeight="1">
      <c r="A31" s="200" t="s">
        <v>134</v>
      </c>
      <c r="B31" s="213">
        <v>1</v>
      </c>
      <c r="C31" s="192">
        <v>900000</v>
      </c>
      <c r="D31" s="68">
        <f t="shared" si="12"/>
        <v>900000</v>
      </c>
      <c r="E31" s="68">
        <f t="shared" si="13"/>
        <v>36000</v>
      </c>
      <c r="F31" s="67">
        <f t="shared" si="14"/>
        <v>144000</v>
      </c>
      <c r="G31" s="69">
        <f t="shared" si="15"/>
        <v>1080000</v>
      </c>
      <c r="H31" s="68">
        <f t="shared" si="16"/>
        <v>12960000</v>
      </c>
    </row>
    <row r="32" spans="1:8" s="72" customFormat="1" ht="15" customHeight="1">
      <c r="A32" s="200" t="s">
        <v>144</v>
      </c>
      <c r="B32" s="213">
        <v>1</v>
      </c>
      <c r="C32" s="192">
        <v>900000</v>
      </c>
      <c r="D32" s="68">
        <f t="shared" si="12"/>
        <v>900000</v>
      </c>
      <c r="E32" s="68">
        <f t="shared" si="13"/>
        <v>36000</v>
      </c>
      <c r="F32" s="67">
        <f t="shared" si="14"/>
        <v>144000</v>
      </c>
      <c r="G32" s="69">
        <f t="shared" si="15"/>
        <v>1080000</v>
      </c>
      <c r="H32" s="68">
        <f t="shared" si="16"/>
        <v>12960000</v>
      </c>
    </row>
    <row r="33" spans="1:8" s="72" customFormat="1" ht="15" customHeight="1">
      <c r="A33" s="200" t="s">
        <v>145</v>
      </c>
      <c r="B33" s="213">
        <v>1</v>
      </c>
      <c r="C33" s="192">
        <v>900000</v>
      </c>
      <c r="D33" s="68">
        <f t="shared" si="12"/>
        <v>900000</v>
      </c>
      <c r="E33" s="68">
        <f t="shared" si="13"/>
        <v>36000</v>
      </c>
      <c r="F33" s="67">
        <f t="shared" si="14"/>
        <v>144000</v>
      </c>
      <c r="G33" s="69">
        <f t="shared" si="15"/>
        <v>1080000</v>
      </c>
      <c r="H33" s="68">
        <f t="shared" si="16"/>
        <v>12960000</v>
      </c>
    </row>
    <row r="34" spans="1:8" s="72" customFormat="1" ht="15" customHeight="1">
      <c r="A34" s="200" t="s">
        <v>135</v>
      </c>
      <c r="B34" s="213">
        <v>1</v>
      </c>
      <c r="C34" s="192">
        <v>700000</v>
      </c>
      <c r="D34" s="68">
        <f t="shared" si="12"/>
        <v>700000</v>
      </c>
      <c r="E34" s="68">
        <f t="shared" si="13"/>
        <v>28000</v>
      </c>
      <c r="F34" s="67">
        <f t="shared" si="14"/>
        <v>112000</v>
      </c>
      <c r="G34" s="69">
        <f t="shared" si="15"/>
        <v>840000</v>
      </c>
      <c r="H34" s="68">
        <f t="shared" si="16"/>
        <v>10080000</v>
      </c>
    </row>
    <row r="35" spans="1:8" s="72" customFormat="1" ht="15" customHeight="1">
      <c r="A35" s="200" t="s">
        <v>136</v>
      </c>
      <c r="B35" s="213">
        <v>1</v>
      </c>
      <c r="C35" s="192">
        <v>700000</v>
      </c>
      <c r="D35" s="68">
        <f t="shared" si="12"/>
        <v>700000</v>
      </c>
      <c r="E35" s="68">
        <f t="shared" si="13"/>
        <v>28000</v>
      </c>
      <c r="F35" s="67">
        <f t="shared" si="14"/>
        <v>112000</v>
      </c>
      <c r="G35" s="69">
        <f t="shared" si="15"/>
        <v>840000</v>
      </c>
      <c r="H35" s="68">
        <f t="shared" si="16"/>
        <v>10080000</v>
      </c>
    </row>
    <row r="36" spans="1:8" s="72" customFormat="1" ht="15" customHeight="1" thickBot="1">
      <c r="A36" s="204" t="s">
        <v>198</v>
      </c>
      <c r="B36" s="215">
        <v>1</v>
      </c>
      <c r="C36" s="185">
        <v>700000</v>
      </c>
      <c r="D36" s="71">
        <f t="shared" si="12"/>
        <v>700000</v>
      </c>
      <c r="E36" s="71">
        <f t="shared" si="13"/>
        <v>28000</v>
      </c>
      <c r="F36" s="81">
        <f t="shared" si="14"/>
        <v>112000</v>
      </c>
      <c r="G36" s="82">
        <f t="shared" si="15"/>
        <v>840000</v>
      </c>
      <c r="H36" s="71">
        <f t="shared" si="16"/>
        <v>10080000</v>
      </c>
    </row>
    <row r="37" spans="1:8" s="72" customFormat="1" ht="15" customHeight="1">
      <c r="A37" s="200" t="s">
        <v>137</v>
      </c>
      <c r="B37" s="198">
        <v>1</v>
      </c>
      <c r="C37" s="192">
        <v>550000</v>
      </c>
      <c r="D37" s="68">
        <f t="shared" si="12"/>
        <v>550000</v>
      </c>
      <c r="E37" s="68">
        <f t="shared" si="13"/>
        <v>22000</v>
      </c>
      <c r="F37" s="69">
        <f t="shared" si="14"/>
        <v>88000</v>
      </c>
      <c r="G37" s="69">
        <f t="shared" si="15"/>
        <v>660000</v>
      </c>
      <c r="H37" s="68">
        <f t="shared" si="16"/>
        <v>7920000</v>
      </c>
    </row>
    <row r="38" spans="1:8" s="72" customFormat="1" ht="15" customHeight="1" thickBot="1">
      <c r="A38" s="184" t="s">
        <v>117</v>
      </c>
      <c r="B38" s="199">
        <v>1</v>
      </c>
      <c r="C38" s="190">
        <v>550000</v>
      </c>
      <c r="D38" s="71">
        <f t="shared" si="12"/>
        <v>550000</v>
      </c>
      <c r="E38" s="68">
        <f t="shared" si="13"/>
        <v>22000</v>
      </c>
      <c r="F38" s="69">
        <f t="shared" si="14"/>
        <v>88000</v>
      </c>
      <c r="G38" s="69">
        <f t="shared" si="15"/>
        <v>660000</v>
      </c>
      <c r="H38" s="68">
        <f t="shared" si="16"/>
        <v>7920000</v>
      </c>
    </row>
    <row r="39" spans="1:8" s="72" customFormat="1" ht="15" customHeight="1" thickBot="1">
      <c r="A39" s="83" t="s">
        <v>138</v>
      </c>
      <c r="B39" s="84">
        <f aca="true" t="shared" si="17" ref="B39:H39">+B25+B18+B11+B5</f>
        <v>46</v>
      </c>
      <c r="C39" s="193">
        <f t="shared" si="17"/>
        <v>55280000</v>
      </c>
      <c r="D39" s="85">
        <f t="shared" si="17"/>
        <v>91240000</v>
      </c>
      <c r="E39" s="85">
        <f t="shared" si="17"/>
        <v>3429600</v>
      </c>
      <c r="F39" s="85">
        <f t="shared" si="17"/>
        <v>13718400</v>
      </c>
      <c r="G39" s="86">
        <f t="shared" si="17"/>
        <v>108388000</v>
      </c>
      <c r="H39" s="85">
        <f t="shared" si="17"/>
        <v>1300656000</v>
      </c>
    </row>
    <row r="40" spans="1:3" s="72" customFormat="1" ht="12">
      <c r="A40" s="87"/>
      <c r="B40" s="87"/>
      <c r="C40" s="87"/>
    </row>
    <row r="41" spans="1:3" s="72" customFormat="1" ht="12">
      <c r="A41" s="87"/>
      <c r="B41" s="87"/>
      <c r="C41" s="87"/>
    </row>
    <row r="42" spans="1:3" s="72" customFormat="1" ht="12">
      <c r="A42" s="87"/>
      <c r="B42" s="87"/>
      <c r="C42" s="87"/>
    </row>
    <row r="43" s="72" customFormat="1" ht="12">
      <c r="H43" s="88"/>
    </row>
    <row r="44" s="72" customFormat="1" ht="12"/>
    <row r="45" s="72" customFormat="1" ht="12"/>
    <row r="46" s="72" customFormat="1" ht="12"/>
    <row r="47" s="72" customFormat="1" ht="12"/>
    <row r="48" s="72" customFormat="1" ht="12"/>
    <row r="49" s="72" customFormat="1" ht="12"/>
    <row r="50" s="72" customFormat="1" ht="12"/>
    <row r="51" s="72" customFormat="1" ht="12"/>
    <row r="52" s="72" customFormat="1" ht="12"/>
    <row r="53" s="72" customFormat="1" ht="12"/>
  </sheetData>
  <sheetProtection/>
  <mergeCells count="1">
    <mergeCell ref="A1:I1"/>
  </mergeCells>
  <printOptions horizontalCentered="1" verticalCentered="1"/>
  <pageMargins left="0.3937007874015748" right="0.3937007874015748" top="0.39" bottom="0.3937007874015748" header="0" footer="0"/>
  <pageSetup horizontalDpi="600" verticalDpi="600" orientation="landscape" paperSize="9" scale="85" r:id="rId1"/>
</worksheet>
</file>

<file path=xl/worksheets/sheet7.xml><?xml version="1.0" encoding="utf-8"?>
<worksheet xmlns="http://schemas.openxmlformats.org/spreadsheetml/2006/main" xmlns:r="http://schemas.openxmlformats.org/officeDocument/2006/relationships">
  <dimension ref="A1:AJ87"/>
  <sheetViews>
    <sheetView zoomScalePageLayoutView="0" workbookViewId="0" topLeftCell="A1">
      <selection activeCell="A1" sqref="A1"/>
    </sheetView>
  </sheetViews>
  <sheetFormatPr defaultColWidth="11.421875" defaultRowHeight="12.75"/>
  <cols>
    <col min="1" max="1" width="0.42578125" style="0" customWidth="1"/>
    <col min="2" max="2" width="37.57421875" style="0" bestFit="1" customWidth="1"/>
    <col min="3" max="3" width="2.8515625" style="0" hidden="1" customWidth="1"/>
    <col min="4" max="4" width="10.7109375" style="37" hidden="1" customWidth="1"/>
    <col min="5" max="5" width="9.421875" style="38" hidden="1" customWidth="1"/>
    <col min="6" max="6" width="12.421875" style="38" bestFit="1" customWidth="1"/>
    <col min="7" max="7" width="15.28125" style="0" bestFit="1" customWidth="1"/>
    <col min="8" max="8" width="6.00390625" style="0" hidden="1" customWidth="1"/>
    <col min="9" max="9" width="13.421875" style="0" hidden="1" customWidth="1"/>
    <col min="10" max="10" width="17.7109375" style="0" bestFit="1" customWidth="1"/>
    <col min="11" max="11" width="9.8515625" style="0" bestFit="1" customWidth="1"/>
    <col min="12" max="12" width="5.57421875" style="0" hidden="1" customWidth="1"/>
    <col min="13" max="13" width="11.421875" style="0" hidden="1" customWidth="1"/>
    <col min="14" max="14" width="14.28125" style="0" hidden="1" customWidth="1"/>
    <col min="15" max="15" width="14.7109375" style="0" hidden="1" customWidth="1"/>
    <col min="16" max="16" width="15.28125" style="0" hidden="1" customWidth="1"/>
    <col min="17" max="17" width="14.140625" style="0" bestFit="1" customWidth="1"/>
    <col min="18" max="18" width="15.421875" style="0" bestFit="1" customWidth="1"/>
    <col min="19" max="19" width="14.28125" style="0" bestFit="1" customWidth="1"/>
    <col min="20" max="20" width="12.57421875" style="0" customWidth="1"/>
    <col min="21" max="21" width="12.7109375" style="0" customWidth="1"/>
    <col min="22" max="22" width="13.8515625" style="0" bestFit="1" customWidth="1"/>
    <col min="23" max="24" width="13.7109375" style="0" bestFit="1" customWidth="1"/>
    <col min="25" max="25" width="15.140625" style="0" bestFit="1" customWidth="1"/>
    <col min="26" max="26" width="14.28125" style="0" bestFit="1" customWidth="1"/>
    <col min="27" max="27" width="12.28125" style="0" customWidth="1"/>
    <col min="28" max="28" width="14.28125" style="0" bestFit="1" customWidth="1"/>
    <col min="29" max="29" width="16.140625" style="0" bestFit="1" customWidth="1"/>
    <col min="30" max="30" width="14.421875" style="0" customWidth="1"/>
    <col min="31" max="31" width="13.57421875" style="0" bestFit="1" customWidth="1"/>
    <col min="32" max="32" width="11.8515625" style="0" hidden="1" customWidth="1"/>
    <col min="33" max="34" width="11.421875" style="0" hidden="1" customWidth="1"/>
    <col min="35" max="35" width="15.421875" style="0" bestFit="1" customWidth="1"/>
    <col min="36" max="36" width="14.57421875" style="0" bestFit="1" customWidth="1"/>
  </cols>
  <sheetData>
    <row r="1" spans="2:35" ht="15">
      <c r="B1" s="91"/>
      <c r="C1" s="91"/>
      <c r="D1" s="91"/>
      <c r="E1" s="92"/>
      <c r="F1" s="92"/>
      <c r="G1" s="93"/>
      <c r="H1" s="93"/>
      <c r="I1" s="93"/>
      <c r="J1" s="93"/>
      <c r="K1" s="93"/>
      <c r="L1" s="93"/>
      <c r="M1" s="93"/>
      <c r="N1" s="93"/>
      <c r="O1" s="93"/>
      <c r="P1" s="93"/>
      <c r="Q1" s="93"/>
      <c r="R1" s="93"/>
      <c r="S1" s="93"/>
      <c r="T1" s="93"/>
      <c r="U1" s="93"/>
      <c r="V1" s="93"/>
      <c r="W1" s="93"/>
      <c r="X1" s="93"/>
      <c r="Y1" s="93"/>
      <c r="Z1" s="93"/>
      <c r="AA1" s="93"/>
      <c r="AB1" s="93"/>
      <c r="AC1" s="35"/>
      <c r="AD1" s="35"/>
      <c r="AE1" s="35"/>
      <c r="AF1" s="35"/>
      <c r="AG1" s="35"/>
      <c r="AH1" s="35"/>
      <c r="AI1" s="35"/>
    </row>
    <row r="2" spans="2:35" ht="15">
      <c r="B2" s="91" t="s">
        <v>76</v>
      </c>
      <c r="C2" s="91"/>
      <c r="D2" s="91"/>
      <c r="E2" s="92"/>
      <c r="F2" s="92"/>
      <c r="G2" s="93"/>
      <c r="H2" s="93"/>
      <c r="I2" s="93"/>
      <c r="J2" s="93"/>
      <c r="K2" s="93"/>
      <c r="L2" s="93"/>
      <c r="M2" s="93"/>
      <c r="N2" s="93"/>
      <c r="O2" s="93"/>
      <c r="P2" s="93"/>
      <c r="Q2" s="93"/>
      <c r="R2" s="93"/>
      <c r="S2" s="93"/>
      <c r="T2" s="93"/>
      <c r="U2" s="93"/>
      <c r="V2" s="93"/>
      <c r="W2" s="93"/>
      <c r="X2" s="93"/>
      <c r="Y2" s="93"/>
      <c r="Z2" s="93"/>
      <c r="AA2" s="93"/>
      <c r="AB2" s="93"/>
      <c r="AC2" s="35"/>
      <c r="AD2" s="35"/>
      <c r="AE2" s="35"/>
      <c r="AF2" s="35"/>
      <c r="AG2" s="35"/>
      <c r="AH2" s="35"/>
      <c r="AI2" s="35"/>
    </row>
    <row r="3" spans="2:35" ht="15">
      <c r="B3" s="91" t="s">
        <v>77</v>
      </c>
      <c r="C3" s="93"/>
      <c r="D3" s="93"/>
      <c r="E3" s="92"/>
      <c r="F3" s="92"/>
      <c r="G3" s="93"/>
      <c r="H3" s="93"/>
      <c r="I3" s="93"/>
      <c r="J3" s="93"/>
      <c r="K3" s="93"/>
      <c r="L3" s="93"/>
      <c r="M3" s="93"/>
      <c r="N3" s="93"/>
      <c r="O3" s="93"/>
      <c r="P3" s="93"/>
      <c r="Q3" s="93"/>
      <c r="R3" s="93"/>
      <c r="S3" s="93"/>
      <c r="T3" s="93"/>
      <c r="U3" s="93"/>
      <c r="V3" s="93"/>
      <c r="W3" s="93"/>
      <c r="X3" s="93"/>
      <c r="Y3" s="93"/>
      <c r="Z3" s="93"/>
      <c r="AA3" s="93"/>
      <c r="AB3" s="93"/>
      <c r="AC3" s="35"/>
      <c r="AD3" s="35"/>
      <c r="AE3" s="35"/>
      <c r="AF3" s="35"/>
      <c r="AG3" s="35"/>
      <c r="AH3" s="35"/>
      <c r="AI3" s="35"/>
    </row>
    <row r="4" spans="2:35" ht="15.75" thickBot="1">
      <c r="B4" s="35"/>
      <c r="C4" s="35"/>
      <c r="D4" s="35"/>
      <c r="E4" s="94"/>
      <c r="F4" s="94"/>
      <c r="G4" s="35"/>
      <c r="H4" s="35"/>
      <c r="I4" s="35"/>
      <c r="J4" s="35"/>
      <c r="K4" s="35"/>
      <c r="L4" s="35"/>
      <c r="M4" s="35"/>
      <c r="N4" s="35"/>
      <c r="O4" s="35"/>
      <c r="P4" s="35"/>
      <c r="Q4" s="35"/>
      <c r="R4" s="35"/>
      <c r="S4" s="95"/>
      <c r="T4" s="35"/>
      <c r="U4" s="35"/>
      <c r="V4" s="35"/>
      <c r="W4" s="35"/>
      <c r="X4" s="35"/>
      <c r="Y4" s="35"/>
      <c r="Z4" s="35"/>
      <c r="AA4" s="35"/>
      <c r="AB4" s="35"/>
      <c r="AC4" s="35"/>
      <c r="AD4" s="35"/>
      <c r="AE4" s="35"/>
      <c r="AF4" s="35"/>
      <c r="AG4" s="35"/>
      <c r="AH4" s="35"/>
      <c r="AI4" s="35"/>
    </row>
    <row r="5" spans="2:35" ht="14.25">
      <c r="B5" s="482" t="s">
        <v>78</v>
      </c>
      <c r="C5" s="96"/>
      <c r="D5" s="97"/>
      <c r="E5" s="98" t="s">
        <v>79</v>
      </c>
      <c r="F5" s="99" t="s">
        <v>80</v>
      </c>
      <c r="G5" s="100" t="s">
        <v>80</v>
      </c>
      <c r="H5" s="53" t="s">
        <v>81</v>
      </c>
      <c r="I5" s="101" t="s">
        <v>82</v>
      </c>
      <c r="J5" s="53" t="s">
        <v>83</v>
      </c>
      <c r="K5" s="480" t="s">
        <v>81</v>
      </c>
      <c r="L5" s="101" t="s">
        <v>84</v>
      </c>
      <c r="M5" s="101" t="s">
        <v>85</v>
      </c>
      <c r="N5" s="101" t="s">
        <v>86</v>
      </c>
      <c r="O5" s="53" t="s">
        <v>87</v>
      </c>
      <c r="P5" s="53" t="s">
        <v>88</v>
      </c>
      <c r="Q5" s="480" t="s">
        <v>89</v>
      </c>
      <c r="R5" s="480" t="s">
        <v>90</v>
      </c>
      <c r="S5" s="102" t="s">
        <v>91</v>
      </c>
      <c r="T5" s="101"/>
      <c r="U5" s="53">
        <v>0.12</v>
      </c>
      <c r="V5" s="53">
        <v>0.03</v>
      </c>
      <c r="W5" s="53">
        <v>0.02</v>
      </c>
      <c r="X5" s="53">
        <v>0.04</v>
      </c>
      <c r="Y5" s="53">
        <v>0.19397</v>
      </c>
      <c r="Z5" s="480" t="s">
        <v>28</v>
      </c>
      <c r="AA5" s="480" t="s">
        <v>92</v>
      </c>
      <c r="AB5" s="103" t="s">
        <v>93</v>
      </c>
      <c r="AC5" s="89" t="s">
        <v>94</v>
      </c>
      <c r="AD5" s="40" t="s">
        <v>95</v>
      </c>
      <c r="AE5" s="89" t="s">
        <v>94</v>
      </c>
      <c r="AF5" s="104"/>
      <c r="AG5" s="104"/>
      <c r="AH5" s="104"/>
      <c r="AI5" s="89" t="s">
        <v>93</v>
      </c>
    </row>
    <row r="6" spans="2:35" ht="15" thickBot="1">
      <c r="B6" s="483"/>
      <c r="C6" s="105"/>
      <c r="D6" s="105"/>
      <c r="E6" s="106" t="s">
        <v>96</v>
      </c>
      <c r="F6" s="106" t="s">
        <v>97</v>
      </c>
      <c r="G6" s="44" t="s">
        <v>99</v>
      </c>
      <c r="H6" s="44"/>
      <c r="I6" s="107"/>
      <c r="J6" s="44" t="s">
        <v>100</v>
      </c>
      <c r="K6" s="481"/>
      <c r="L6" s="107"/>
      <c r="M6" s="107"/>
      <c r="N6" s="44" t="s">
        <v>80</v>
      </c>
      <c r="O6" s="44"/>
      <c r="P6" s="44" t="s">
        <v>101</v>
      </c>
      <c r="Q6" s="481"/>
      <c r="R6" s="481"/>
      <c r="S6" s="44" t="s">
        <v>102</v>
      </c>
      <c r="T6" s="44" t="s">
        <v>103</v>
      </c>
      <c r="U6" s="44" t="s">
        <v>104</v>
      </c>
      <c r="V6" s="44" t="s">
        <v>105</v>
      </c>
      <c r="W6" s="44" t="s">
        <v>106</v>
      </c>
      <c r="X6" s="44" t="s">
        <v>107</v>
      </c>
      <c r="Y6" s="44" t="s">
        <v>108</v>
      </c>
      <c r="Z6" s="481"/>
      <c r="AA6" s="481"/>
      <c r="AB6" s="108">
        <v>2004</v>
      </c>
      <c r="AC6" s="41">
        <v>2004</v>
      </c>
      <c r="AD6" s="371">
        <v>0.05</v>
      </c>
      <c r="AE6" s="41">
        <v>2005</v>
      </c>
      <c r="AF6" s="34"/>
      <c r="AG6" s="34"/>
      <c r="AH6" s="34"/>
      <c r="AI6" s="41">
        <v>2005</v>
      </c>
    </row>
    <row r="7" spans="2:35" ht="15">
      <c r="B7" s="109" t="s">
        <v>146</v>
      </c>
      <c r="C7" s="96"/>
      <c r="D7" s="110"/>
      <c r="E7" s="111"/>
      <c r="F7" s="111"/>
      <c r="G7" s="112"/>
      <c r="H7" s="112"/>
      <c r="I7" s="113"/>
      <c r="J7" s="113"/>
      <c r="K7" s="113"/>
      <c r="L7" s="113"/>
      <c r="M7" s="113"/>
      <c r="N7" s="112"/>
      <c r="O7" s="112"/>
      <c r="P7" s="112"/>
      <c r="Q7" s="112"/>
      <c r="R7" s="112"/>
      <c r="S7" s="112"/>
      <c r="T7" s="112"/>
      <c r="U7" s="112"/>
      <c r="V7" s="112"/>
      <c r="W7" s="112"/>
      <c r="X7" s="112"/>
      <c r="Y7" s="112"/>
      <c r="Z7" s="113"/>
      <c r="AA7" s="113"/>
      <c r="AB7" s="113"/>
      <c r="AC7" s="90"/>
      <c r="AD7" s="90"/>
      <c r="AE7" s="90"/>
      <c r="AF7" s="114"/>
      <c r="AG7" s="114"/>
      <c r="AH7" s="114"/>
      <c r="AI7" s="90"/>
    </row>
    <row r="8" spans="2:35" ht="15">
      <c r="B8" s="115" t="s">
        <v>109</v>
      </c>
      <c r="C8" s="116"/>
      <c r="D8" s="117"/>
      <c r="E8" s="118"/>
      <c r="F8" s="119">
        <f>+G8/30</f>
        <v>85644.96666666666</v>
      </c>
      <c r="G8" s="119">
        <v>2569349</v>
      </c>
      <c r="H8" s="119"/>
      <c r="I8" s="119"/>
      <c r="J8" s="119">
        <f>+F8*K8</f>
        <v>30832187.999999996</v>
      </c>
      <c r="K8" s="119">
        <f>360-H8</f>
        <v>360</v>
      </c>
      <c r="L8" s="119">
        <v>0</v>
      </c>
      <c r="M8" s="119">
        <f>+K8-L8</f>
        <v>360</v>
      </c>
      <c r="N8" s="119" t="e">
        <f>+#REF!/30*M8</f>
        <v>#REF!</v>
      </c>
      <c r="O8" s="119" t="e">
        <f>+N8+I8</f>
        <v>#REF!</v>
      </c>
      <c r="P8" s="119" t="e">
        <f>+O8-Q8</f>
        <v>#REF!</v>
      </c>
      <c r="Q8" s="119">
        <f>+G8/2</f>
        <v>1284674.5</v>
      </c>
      <c r="R8" s="119">
        <f>+G8</f>
        <v>2569349</v>
      </c>
      <c r="S8" s="119"/>
      <c r="T8" s="119">
        <v>2569349</v>
      </c>
      <c r="U8" s="119">
        <f>+T8*$U$5</f>
        <v>308321.88</v>
      </c>
      <c r="V8" s="119">
        <f>+G8*12*0.03</f>
        <v>924965.64</v>
      </c>
      <c r="W8" s="119">
        <f>+G8*12*0.02</f>
        <v>616643.76</v>
      </c>
      <c r="X8" s="119">
        <f>+G8*12*0.04</f>
        <v>1233287.52</v>
      </c>
      <c r="Y8" s="119">
        <f>+G8*12*0.19397</f>
        <v>5980519.50636</v>
      </c>
      <c r="Z8" s="119">
        <f>+J8+Q8+R8+S8+T8+U8+V8+W8+X8+Y8</f>
        <v>46319298.80636001</v>
      </c>
      <c r="AA8" s="119"/>
      <c r="AB8" s="119">
        <f>SUM(Z8:AA8)</f>
        <v>46319298.80636001</v>
      </c>
      <c r="AC8" s="120">
        <f>+AB8/12</f>
        <v>3859941.567196667</v>
      </c>
      <c r="AD8" s="120">
        <f>+AC8*0.06</f>
        <v>231596.49403180002</v>
      </c>
      <c r="AE8" s="120">
        <f>+AC8*1.06</f>
        <v>4091538.0612284676</v>
      </c>
      <c r="AF8" s="121"/>
      <c r="AG8" s="122"/>
      <c r="AH8" s="123"/>
      <c r="AI8" s="120">
        <f>+AE8*12</f>
        <v>49098456.73474161</v>
      </c>
    </row>
    <row r="9" spans="2:35" ht="15.75" thickBot="1">
      <c r="B9" s="124" t="s">
        <v>160</v>
      </c>
      <c r="C9" s="125"/>
      <c r="D9" s="126"/>
      <c r="E9" s="127"/>
      <c r="F9" s="128">
        <f>SUM(F8)</f>
        <v>85644.96666666666</v>
      </c>
      <c r="G9" s="128">
        <f>SUM(G8)</f>
        <v>2569349</v>
      </c>
      <c r="H9" s="128"/>
      <c r="I9" s="128"/>
      <c r="J9" s="128">
        <f>SUM(J8)</f>
        <v>30832187.999999996</v>
      </c>
      <c r="K9" s="128">
        <f aca="true" t="shared" si="0" ref="K9:R9">SUM(K8:K8)</f>
        <v>360</v>
      </c>
      <c r="L9" s="128">
        <f t="shared" si="0"/>
        <v>0</v>
      </c>
      <c r="M9" s="128">
        <f t="shared" si="0"/>
        <v>360</v>
      </c>
      <c r="N9" s="128" t="e">
        <f t="shared" si="0"/>
        <v>#REF!</v>
      </c>
      <c r="O9" s="128" t="e">
        <f t="shared" si="0"/>
        <v>#REF!</v>
      </c>
      <c r="P9" s="128" t="e">
        <f t="shared" si="0"/>
        <v>#REF!</v>
      </c>
      <c r="Q9" s="128">
        <f t="shared" si="0"/>
        <v>1284674.5</v>
      </c>
      <c r="R9" s="128">
        <f t="shared" si="0"/>
        <v>2569349</v>
      </c>
      <c r="S9" s="128"/>
      <c r="T9" s="128">
        <f>SUM(T8)</f>
        <v>2569349</v>
      </c>
      <c r="U9" s="128">
        <f>SUM(U8:U8)</f>
        <v>308321.88</v>
      </c>
      <c r="V9" s="128">
        <f>SUM(V8:V8)</f>
        <v>924965.64</v>
      </c>
      <c r="W9" s="128">
        <f>SUM(W8:W8)</f>
        <v>616643.76</v>
      </c>
      <c r="X9" s="128">
        <f>SUM(X8:X8)</f>
        <v>1233287.52</v>
      </c>
      <c r="Y9" s="128">
        <f>SUM(Y8:Y8)</f>
        <v>5980519.50636</v>
      </c>
      <c r="Z9" s="128">
        <f>SUM(Z8)</f>
        <v>46319298.80636001</v>
      </c>
      <c r="AA9" s="128">
        <f>SUM(AA8:AA8)</f>
        <v>0</v>
      </c>
      <c r="AB9" s="129">
        <f>SUM(AB8:AB8)</f>
        <v>46319298.80636001</v>
      </c>
      <c r="AC9" s="130">
        <f>SUM(AC8)</f>
        <v>3859941.567196667</v>
      </c>
      <c r="AD9" s="130">
        <f>SUM(AD8)</f>
        <v>231596.49403180002</v>
      </c>
      <c r="AE9" s="131">
        <f>SUM(AE8)</f>
        <v>4091538.0612284676</v>
      </c>
      <c r="AF9" s="132"/>
      <c r="AG9" s="132"/>
      <c r="AH9" s="132"/>
      <c r="AI9" s="131">
        <f>SUM(AI8)</f>
        <v>49098456.73474161</v>
      </c>
    </row>
    <row r="10" spans="2:35" ht="15">
      <c r="B10" s="133" t="s">
        <v>161</v>
      </c>
      <c r="C10" s="134"/>
      <c r="D10" s="135"/>
      <c r="E10" s="136"/>
      <c r="F10" s="136"/>
      <c r="G10" s="137"/>
      <c r="H10" s="137"/>
      <c r="I10" s="137"/>
      <c r="J10" s="137"/>
      <c r="K10" s="137"/>
      <c r="L10" s="137"/>
      <c r="M10" s="137"/>
      <c r="N10" s="137"/>
      <c r="O10" s="137"/>
      <c r="P10" s="137"/>
      <c r="Q10" s="137"/>
      <c r="R10" s="137"/>
      <c r="S10" s="137"/>
      <c r="T10" s="137"/>
      <c r="U10" s="137"/>
      <c r="V10" s="137"/>
      <c r="W10" s="137"/>
      <c r="X10" s="137"/>
      <c r="Y10" s="137"/>
      <c r="Z10" s="137"/>
      <c r="AA10" s="137"/>
      <c r="AB10" s="138"/>
      <c r="AC10" s="90"/>
      <c r="AD10" s="90"/>
      <c r="AE10" s="90"/>
      <c r="AF10" s="114"/>
      <c r="AG10" s="114"/>
      <c r="AH10" s="114"/>
      <c r="AI10" s="90"/>
    </row>
    <row r="11" spans="1:36" ht="15">
      <c r="A11" s="39"/>
      <c r="B11" s="115" t="s">
        <v>109</v>
      </c>
      <c r="C11" s="116"/>
      <c r="D11" s="117"/>
      <c r="E11" s="118"/>
      <c r="F11" s="119">
        <f>+G11/30</f>
        <v>85644.96666666666</v>
      </c>
      <c r="G11" s="119">
        <v>2569349</v>
      </c>
      <c r="H11" s="119"/>
      <c r="I11" s="119"/>
      <c r="J11" s="119">
        <f>+F11*K11</f>
        <v>30832187.999999996</v>
      </c>
      <c r="K11" s="119">
        <f>360-H11</f>
        <v>360</v>
      </c>
      <c r="L11" s="119">
        <v>0</v>
      </c>
      <c r="M11" s="119">
        <f>+K11-L11</f>
        <v>360</v>
      </c>
      <c r="N11" s="119" t="e">
        <f>+#REF!/30*M11</f>
        <v>#REF!</v>
      </c>
      <c r="O11" s="119" t="e">
        <f>+N11+I11</f>
        <v>#REF!</v>
      </c>
      <c r="P11" s="119" t="e">
        <f>+O11-Q11</f>
        <v>#REF!</v>
      </c>
      <c r="Q11" s="119">
        <f>+G11/2</f>
        <v>1284674.5</v>
      </c>
      <c r="R11" s="119">
        <f>+G11</f>
        <v>2569349</v>
      </c>
      <c r="S11" s="119"/>
      <c r="T11" s="119">
        <v>2569349</v>
      </c>
      <c r="U11" s="119">
        <f>+T11*$U$5</f>
        <v>308321.88</v>
      </c>
      <c r="V11" s="119">
        <f>+G11*12*0.03</f>
        <v>924965.64</v>
      </c>
      <c r="W11" s="119">
        <f>+G11*12*0.02</f>
        <v>616643.76</v>
      </c>
      <c r="X11" s="119">
        <f>+G11*12*0.04</f>
        <v>1233287.52</v>
      </c>
      <c r="Y11" s="119">
        <f>+G11*12*0.19397</f>
        <v>5980519.50636</v>
      </c>
      <c r="Z11" s="119">
        <f>+J11+Q11+R11+S11+T11+U11+V11+W11+X11+Y11</f>
        <v>46319298.80636001</v>
      </c>
      <c r="AA11" s="119"/>
      <c r="AB11" s="139">
        <f>SUM(Z11:AA11)</f>
        <v>46319298.80636001</v>
      </c>
      <c r="AC11" s="120">
        <f>+AB11/12</f>
        <v>3859941.567196667</v>
      </c>
      <c r="AD11" s="120">
        <f>+AC11*0.06</f>
        <v>231596.49403180002</v>
      </c>
      <c r="AE11" s="120">
        <f>+AC11*1.06</f>
        <v>4091538.0612284676</v>
      </c>
      <c r="AF11" s="121"/>
      <c r="AG11" s="122"/>
      <c r="AH11" s="123"/>
      <c r="AI11" s="120">
        <f>+AE11*12</f>
        <v>49098456.73474161</v>
      </c>
      <c r="AJ11" s="39"/>
    </row>
    <row r="12" spans="1:36" ht="15.75" thickBot="1">
      <c r="A12" s="39"/>
      <c r="B12" s="140" t="s">
        <v>162</v>
      </c>
      <c r="C12" s="141"/>
      <c r="D12" s="142"/>
      <c r="E12" s="143"/>
      <c r="F12" s="144">
        <f>SUM(F11)</f>
        <v>85644.96666666666</v>
      </c>
      <c r="G12" s="144">
        <f>SUM(G11)</f>
        <v>2569349</v>
      </c>
      <c r="H12" s="144"/>
      <c r="I12" s="144"/>
      <c r="J12" s="144">
        <f>SUM(J11)</f>
        <v>30832187.999999996</v>
      </c>
      <c r="K12" s="144">
        <f aca="true" t="shared" si="1" ref="K12:R12">SUM(K11:K11)</f>
        <v>360</v>
      </c>
      <c r="L12" s="144">
        <f t="shared" si="1"/>
        <v>0</v>
      </c>
      <c r="M12" s="144">
        <f t="shared" si="1"/>
        <v>360</v>
      </c>
      <c r="N12" s="144" t="e">
        <f t="shared" si="1"/>
        <v>#REF!</v>
      </c>
      <c r="O12" s="144" t="e">
        <f t="shared" si="1"/>
        <v>#REF!</v>
      </c>
      <c r="P12" s="144" t="e">
        <f t="shared" si="1"/>
        <v>#REF!</v>
      </c>
      <c r="Q12" s="144">
        <f t="shared" si="1"/>
        <v>1284674.5</v>
      </c>
      <c r="R12" s="144">
        <f t="shared" si="1"/>
        <v>2569349</v>
      </c>
      <c r="S12" s="144"/>
      <c r="T12" s="144">
        <f>SUM(T11)</f>
        <v>2569349</v>
      </c>
      <c r="U12" s="144">
        <f>SUM(U11:U11)</f>
        <v>308321.88</v>
      </c>
      <c r="V12" s="144">
        <f>SUM(V11:V11)</f>
        <v>924965.64</v>
      </c>
      <c r="W12" s="144">
        <f>SUM(W11:W11)</f>
        <v>616643.76</v>
      </c>
      <c r="X12" s="144">
        <f>SUM(X11:X11)</f>
        <v>1233287.52</v>
      </c>
      <c r="Y12" s="144">
        <f>SUM(Y11:Y11)</f>
        <v>5980519.50636</v>
      </c>
      <c r="Z12" s="144">
        <f>SUM(Z11)</f>
        <v>46319298.80636001</v>
      </c>
      <c r="AA12" s="144">
        <f>SUM(AA11:AA11)</f>
        <v>0</v>
      </c>
      <c r="AB12" s="145">
        <f>SUM(AB11:AB11)</f>
        <v>46319298.80636001</v>
      </c>
      <c r="AC12" s="146">
        <f>SUM(AC11)</f>
        <v>3859941.567196667</v>
      </c>
      <c r="AD12" s="130">
        <f>+AD11</f>
        <v>231596.49403180002</v>
      </c>
      <c r="AE12" s="131">
        <f>+AE11</f>
        <v>4091538.0612284676</v>
      </c>
      <c r="AF12" s="147"/>
      <c r="AG12" s="147"/>
      <c r="AH12" s="147"/>
      <c r="AI12" s="131">
        <f>+AI11</f>
        <v>49098456.73474161</v>
      </c>
      <c r="AJ12" s="42"/>
    </row>
    <row r="13" spans="1:36" ht="15">
      <c r="A13" s="39"/>
      <c r="B13" s="148" t="s">
        <v>163</v>
      </c>
      <c r="C13" s="149"/>
      <c r="D13" s="150"/>
      <c r="E13" s="151"/>
      <c r="F13" s="151"/>
      <c r="G13" s="152"/>
      <c r="H13" s="152"/>
      <c r="I13" s="152"/>
      <c r="J13" s="152"/>
      <c r="K13" s="152"/>
      <c r="L13" s="152"/>
      <c r="M13" s="152"/>
      <c r="N13" s="152"/>
      <c r="O13" s="152"/>
      <c r="P13" s="152"/>
      <c r="Q13" s="152"/>
      <c r="R13" s="152"/>
      <c r="S13" s="152"/>
      <c r="T13" s="152"/>
      <c r="U13" s="152"/>
      <c r="V13" s="152"/>
      <c r="W13" s="152"/>
      <c r="X13" s="152"/>
      <c r="Y13" s="152"/>
      <c r="Z13" s="152"/>
      <c r="AA13" s="152"/>
      <c r="AB13" s="153"/>
      <c r="AC13" s="90"/>
      <c r="AD13" s="90"/>
      <c r="AE13" s="90"/>
      <c r="AF13" s="114"/>
      <c r="AG13" s="114"/>
      <c r="AH13" s="114"/>
      <c r="AI13" s="90"/>
      <c r="AJ13" s="39"/>
    </row>
    <row r="14" spans="1:36" ht="15">
      <c r="A14" s="43"/>
      <c r="B14" s="115" t="s">
        <v>110</v>
      </c>
      <c r="C14" s="116" t="s">
        <v>30</v>
      </c>
      <c r="D14" s="117"/>
      <c r="E14" s="154"/>
      <c r="F14" s="119">
        <f aca="true" t="shared" si="2" ref="F14:F20">+G14/30</f>
        <v>29588.6</v>
      </c>
      <c r="G14" s="119">
        <v>887658</v>
      </c>
      <c r="H14" s="119"/>
      <c r="I14" s="119"/>
      <c r="J14" s="119">
        <f aca="true" t="shared" si="3" ref="J14:J20">+F14*K14</f>
        <v>10651896</v>
      </c>
      <c r="K14" s="119">
        <f aca="true" t="shared" si="4" ref="K14:K20">360-H14</f>
        <v>360</v>
      </c>
      <c r="L14" s="119">
        <v>0</v>
      </c>
      <c r="M14" s="119">
        <f>+K14-L14</f>
        <v>360</v>
      </c>
      <c r="N14" s="119" t="e">
        <f>+#REF!/30*M14</f>
        <v>#REF!</v>
      </c>
      <c r="O14" s="119" t="e">
        <f>+N14+I14</f>
        <v>#REF!</v>
      </c>
      <c r="P14" s="119" t="e">
        <f>+O14-Q14</f>
        <v>#REF!</v>
      </c>
      <c r="Q14" s="119">
        <f aca="true" t="shared" si="5" ref="Q14:Q20">+G14/2</f>
        <v>443829</v>
      </c>
      <c r="R14" s="119">
        <f aca="true" t="shared" si="6" ref="R14:R20">+G14</f>
        <v>887658</v>
      </c>
      <c r="S14" s="119"/>
      <c r="T14" s="119">
        <v>887658</v>
      </c>
      <c r="U14" s="119">
        <f aca="true" t="shared" si="7" ref="U14:U20">+T14*$U$5</f>
        <v>106518.95999999999</v>
      </c>
      <c r="V14" s="119">
        <f aca="true" t="shared" si="8" ref="V14:V20">+G14*12*0.03</f>
        <v>319556.88</v>
      </c>
      <c r="W14" s="119">
        <f aca="true" t="shared" si="9" ref="W14:W20">+G14*12*0.02</f>
        <v>213037.92</v>
      </c>
      <c r="X14" s="119">
        <f aca="true" t="shared" si="10" ref="X14:X20">+G14*12*0.04</f>
        <v>426075.84</v>
      </c>
      <c r="Y14" s="119">
        <f aca="true" t="shared" si="11" ref="Y14:Y20">+G14*12*0.19397</f>
        <v>2066148.26712</v>
      </c>
      <c r="Z14" s="119">
        <f aca="true" t="shared" si="12" ref="Z14:Z20">+J14+Q14+R14+S14+T14+U14+V14+W14+X14+Y14</f>
        <v>16002378.867120001</v>
      </c>
      <c r="AA14" s="119"/>
      <c r="AB14" s="139">
        <f aca="true" t="shared" si="13" ref="AB14:AB20">SUM(Z14:AA14)</f>
        <v>16002378.867120001</v>
      </c>
      <c r="AC14" s="120">
        <f aca="true" t="shared" si="14" ref="AC14:AC20">+AB14/12</f>
        <v>1333531.57226</v>
      </c>
      <c r="AD14" s="120">
        <f aca="true" t="shared" si="15" ref="AD14:AD20">+AC14*0.06</f>
        <v>80011.8943356</v>
      </c>
      <c r="AE14" s="120">
        <f aca="true" t="shared" si="16" ref="AE14:AE20">+AC14*1.06</f>
        <v>1413543.4665956001</v>
      </c>
      <c r="AF14" s="121"/>
      <c r="AG14" s="122"/>
      <c r="AH14" s="123"/>
      <c r="AI14" s="120">
        <f aca="true" t="shared" si="17" ref="AI14:AI20">+AE14*12</f>
        <v>16962521.5991472</v>
      </c>
      <c r="AJ14" s="43"/>
    </row>
    <row r="15" spans="1:36" ht="15">
      <c r="A15" s="43"/>
      <c r="B15" s="115" t="s">
        <v>111</v>
      </c>
      <c r="C15" s="116"/>
      <c r="D15" s="117"/>
      <c r="E15" s="154"/>
      <c r="F15" s="119">
        <f t="shared" si="2"/>
        <v>26595.133333333335</v>
      </c>
      <c r="G15" s="119">
        <v>797854</v>
      </c>
      <c r="H15" s="119"/>
      <c r="I15" s="119"/>
      <c r="J15" s="119">
        <f t="shared" si="3"/>
        <v>9574248</v>
      </c>
      <c r="K15" s="119">
        <f t="shared" si="4"/>
        <v>360</v>
      </c>
      <c r="L15" s="119"/>
      <c r="M15" s="119"/>
      <c r="N15" s="119"/>
      <c r="O15" s="119"/>
      <c r="P15" s="119"/>
      <c r="Q15" s="119">
        <f t="shared" si="5"/>
        <v>398927</v>
      </c>
      <c r="R15" s="119">
        <f t="shared" si="6"/>
        <v>797854</v>
      </c>
      <c r="S15" s="119"/>
      <c r="T15" s="119">
        <v>797854</v>
      </c>
      <c r="U15" s="119">
        <f t="shared" si="7"/>
        <v>95742.48</v>
      </c>
      <c r="V15" s="119">
        <f t="shared" si="8"/>
        <v>287227.44</v>
      </c>
      <c r="W15" s="119">
        <f t="shared" si="9"/>
        <v>191484.96</v>
      </c>
      <c r="X15" s="119">
        <f t="shared" si="10"/>
        <v>382969.92</v>
      </c>
      <c r="Y15" s="119">
        <f t="shared" si="11"/>
        <v>1857116.88456</v>
      </c>
      <c r="Z15" s="119">
        <f t="shared" si="12"/>
        <v>14383424.68456</v>
      </c>
      <c r="AA15" s="119"/>
      <c r="AB15" s="139">
        <f t="shared" si="13"/>
        <v>14383424.68456</v>
      </c>
      <c r="AC15" s="120">
        <f t="shared" si="14"/>
        <v>1198618.7237133335</v>
      </c>
      <c r="AD15" s="120">
        <f t="shared" si="15"/>
        <v>71917.12342280001</v>
      </c>
      <c r="AE15" s="120">
        <f t="shared" si="16"/>
        <v>1270535.8471361336</v>
      </c>
      <c r="AF15" s="121"/>
      <c r="AG15" s="122"/>
      <c r="AH15" s="123"/>
      <c r="AI15" s="120">
        <f t="shared" si="17"/>
        <v>15246430.165633604</v>
      </c>
      <c r="AJ15" s="43"/>
    </row>
    <row r="16" spans="1:36" ht="15">
      <c r="A16" s="43"/>
      <c r="B16" s="115" t="s">
        <v>112</v>
      </c>
      <c r="C16" s="116" t="s">
        <v>30</v>
      </c>
      <c r="D16" s="117"/>
      <c r="E16" s="154"/>
      <c r="F16" s="119">
        <f t="shared" si="2"/>
        <v>45395.1</v>
      </c>
      <c r="G16" s="119">
        <v>1361853</v>
      </c>
      <c r="H16" s="119"/>
      <c r="I16" s="119"/>
      <c r="J16" s="119">
        <f t="shared" si="3"/>
        <v>16342236</v>
      </c>
      <c r="K16" s="119">
        <f t="shared" si="4"/>
        <v>360</v>
      </c>
      <c r="L16" s="119">
        <v>0</v>
      </c>
      <c r="M16" s="119">
        <f>+K16-L16</f>
        <v>360</v>
      </c>
      <c r="N16" s="119" t="e">
        <f>+#REF!/30*M16</f>
        <v>#REF!</v>
      </c>
      <c r="O16" s="119" t="e">
        <f>+N16+I16</f>
        <v>#REF!</v>
      </c>
      <c r="P16" s="119" t="e">
        <f>+O16-Q16</f>
        <v>#REF!</v>
      </c>
      <c r="Q16" s="119">
        <f t="shared" si="5"/>
        <v>680926.5</v>
      </c>
      <c r="R16" s="119">
        <f t="shared" si="6"/>
        <v>1361853</v>
      </c>
      <c r="S16" s="119"/>
      <c r="T16" s="119">
        <v>1361853</v>
      </c>
      <c r="U16" s="119">
        <f t="shared" si="7"/>
        <v>163422.36</v>
      </c>
      <c r="V16" s="119">
        <f t="shared" si="8"/>
        <v>490267.07999999996</v>
      </c>
      <c r="W16" s="119">
        <f t="shared" si="9"/>
        <v>326844.72000000003</v>
      </c>
      <c r="X16" s="119">
        <f t="shared" si="10"/>
        <v>653689.4400000001</v>
      </c>
      <c r="Y16" s="119">
        <f t="shared" si="11"/>
        <v>3169903.51692</v>
      </c>
      <c r="Z16" s="119">
        <f t="shared" si="12"/>
        <v>24550995.616919998</v>
      </c>
      <c r="AA16" s="119"/>
      <c r="AB16" s="139">
        <f t="shared" si="13"/>
        <v>24550995.616919998</v>
      </c>
      <c r="AC16" s="120">
        <f t="shared" si="14"/>
        <v>2045916.3014099998</v>
      </c>
      <c r="AD16" s="120">
        <f t="shared" si="15"/>
        <v>122754.97808459999</v>
      </c>
      <c r="AE16" s="120">
        <f t="shared" si="16"/>
        <v>2168671.2794946</v>
      </c>
      <c r="AF16" s="121"/>
      <c r="AG16" s="122"/>
      <c r="AH16" s="123"/>
      <c r="AI16" s="120">
        <f t="shared" si="17"/>
        <v>26024055.353935197</v>
      </c>
      <c r="AJ16" s="43"/>
    </row>
    <row r="17" spans="1:36" ht="15">
      <c r="A17" s="43"/>
      <c r="B17" s="115" t="s">
        <v>113</v>
      </c>
      <c r="C17" s="116" t="s">
        <v>114</v>
      </c>
      <c r="D17" s="117"/>
      <c r="E17" s="118"/>
      <c r="F17" s="119">
        <f t="shared" si="2"/>
        <v>19433.333333333332</v>
      </c>
      <c r="G17" s="119">
        <v>583000</v>
      </c>
      <c r="H17" s="119"/>
      <c r="I17" s="119"/>
      <c r="J17" s="119">
        <f t="shared" si="3"/>
        <v>6996000</v>
      </c>
      <c r="K17" s="119">
        <f t="shared" si="4"/>
        <v>360</v>
      </c>
      <c r="L17" s="119">
        <v>0</v>
      </c>
      <c r="M17" s="119">
        <f>+K17-L17</f>
        <v>360</v>
      </c>
      <c r="N17" s="119" t="e">
        <f>+#REF!/30*M17</f>
        <v>#REF!</v>
      </c>
      <c r="O17" s="119" t="e">
        <f>+N17+I17</f>
        <v>#REF!</v>
      </c>
      <c r="P17" s="119" t="e">
        <f>+O17-Q17</f>
        <v>#REF!</v>
      </c>
      <c r="Q17" s="119">
        <f t="shared" si="5"/>
        <v>291500</v>
      </c>
      <c r="R17" s="119">
        <f t="shared" si="6"/>
        <v>583000</v>
      </c>
      <c r="S17" s="119">
        <v>499200</v>
      </c>
      <c r="T17" s="119">
        <v>583000</v>
      </c>
      <c r="U17" s="119">
        <f t="shared" si="7"/>
        <v>69960</v>
      </c>
      <c r="V17" s="119">
        <f t="shared" si="8"/>
        <v>209880</v>
      </c>
      <c r="W17" s="119">
        <f t="shared" si="9"/>
        <v>139920</v>
      </c>
      <c r="X17" s="119">
        <f t="shared" si="10"/>
        <v>279840</v>
      </c>
      <c r="Y17" s="119">
        <f t="shared" si="11"/>
        <v>1357014.12</v>
      </c>
      <c r="Z17" s="119">
        <f t="shared" si="12"/>
        <v>11009314.120000001</v>
      </c>
      <c r="AA17" s="119">
        <v>255000</v>
      </c>
      <c r="AB17" s="139">
        <f t="shared" si="13"/>
        <v>11264314.120000001</v>
      </c>
      <c r="AC17" s="120">
        <f t="shared" si="14"/>
        <v>938692.8433333334</v>
      </c>
      <c r="AD17" s="120">
        <f t="shared" si="15"/>
        <v>56321.5706</v>
      </c>
      <c r="AE17" s="120">
        <f t="shared" si="16"/>
        <v>995014.4139333335</v>
      </c>
      <c r="AF17" s="121"/>
      <c r="AG17" s="122"/>
      <c r="AH17" s="123"/>
      <c r="AI17" s="120">
        <f t="shared" si="17"/>
        <v>11940172.967200002</v>
      </c>
      <c r="AJ17" s="43"/>
    </row>
    <row r="18" spans="1:36" ht="15">
      <c r="A18" s="43"/>
      <c r="B18" s="115" t="s">
        <v>115</v>
      </c>
      <c r="C18" s="116" t="s">
        <v>30</v>
      </c>
      <c r="D18" s="117"/>
      <c r="E18" s="154"/>
      <c r="F18" s="119">
        <f t="shared" si="2"/>
        <v>19433.333333333332</v>
      </c>
      <c r="G18" s="119">
        <v>583000</v>
      </c>
      <c r="H18" s="119"/>
      <c r="I18" s="119"/>
      <c r="J18" s="119">
        <f t="shared" si="3"/>
        <v>6996000</v>
      </c>
      <c r="K18" s="119">
        <f t="shared" si="4"/>
        <v>360</v>
      </c>
      <c r="L18" s="119">
        <v>0</v>
      </c>
      <c r="M18" s="119">
        <f>+K18-L18</f>
        <v>360</v>
      </c>
      <c r="N18" s="119" t="e">
        <f>+#REF!/30*M18</f>
        <v>#REF!</v>
      </c>
      <c r="O18" s="119" t="e">
        <f>+N18+I18</f>
        <v>#REF!</v>
      </c>
      <c r="P18" s="119" t="e">
        <f>+O18-Q18</f>
        <v>#REF!</v>
      </c>
      <c r="Q18" s="119">
        <f t="shared" si="5"/>
        <v>291500</v>
      </c>
      <c r="R18" s="119">
        <f t="shared" si="6"/>
        <v>583000</v>
      </c>
      <c r="S18" s="119">
        <v>499200</v>
      </c>
      <c r="T18" s="119">
        <v>583000</v>
      </c>
      <c r="U18" s="119">
        <f t="shared" si="7"/>
        <v>69960</v>
      </c>
      <c r="V18" s="119">
        <f t="shared" si="8"/>
        <v>209880</v>
      </c>
      <c r="W18" s="119">
        <f t="shared" si="9"/>
        <v>139920</v>
      </c>
      <c r="X18" s="119">
        <f t="shared" si="10"/>
        <v>279840</v>
      </c>
      <c r="Y18" s="119">
        <f t="shared" si="11"/>
        <v>1357014.12</v>
      </c>
      <c r="Z18" s="119">
        <f t="shared" si="12"/>
        <v>11009314.120000001</v>
      </c>
      <c r="AA18" s="119">
        <v>255000</v>
      </c>
      <c r="AB18" s="139">
        <f t="shared" si="13"/>
        <v>11264314.120000001</v>
      </c>
      <c r="AC18" s="120">
        <f t="shared" si="14"/>
        <v>938692.8433333334</v>
      </c>
      <c r="AD18" s="120">
        <f t="shared" si="15"/>
        <v>56321.5706</v>
      </c>
      <c r="AE18" s="120">
        <f t="shared" si="16"/>
        <v>995014.4139333335</v>
      </c>
      <c r="AF18" s="121"/>
      <c r="AG18" s="122"/>
      <c r="AH18" s="123"/>
      <c r="AI18" s="120">
        <f t="shared" si="17"/>
        <v>11940172.967200002</v>
      </c>
      <c r="AJ18" s="43"/>
    </row>
    <row r="19" spans="1:36" ht="15">
      <c r="A19" s="43"/>
      <c r="B19" s="155" t="s">
        <v>116</v>
      </c>
      <c r="C19" s="156"/>
      <c r="D19" s="157"/>
      <c r="E19" s="158"/>
      <c r="F19" s="119">
        <f t="shared" si="2"/>
        <v>25842.8</v>
      </c>
      <c r="G19" s="159">
        <v>775284</v>
      </c>
      <c r="H19" s="159"/>
      <c r="I19" s="159"/>
      <c r="J19" s="119">
        <f t="shared" si="3"/>
        <v>9303408</v>
      </c>
      <c r="K19" s="119">
        <f t="shared" si="4"/>
        <v>360</v>
      </c>
      <c r="L19" s="159"/>
      <c r="M19" s="159"/>
      <c r="N19" s="159"/>
      <c r="O19" s="159"/>
      <c r="P19" s="159"/>
      <c r="Q19" s="119">
        <f t="shared" si="5"/>
        <v>387642</v>
      </c>
      <c r="R19" s="119">
        <f t="shared" si="6"/>
        <v>775284</v>
      </c>
      <c r="S19" s="159"/>
      <c r="T19" s="159">
        <v>775284</v>
      </c>
      <c r="U19" s="159">
        <f t="shared" si="7"/>
        <v>93034.08</v>
      </c>
      <c r="V19" s="119">
        <f t="shared" si="8"/>
        <v>279102.24</v>
      </c>
      <c r="W19" s="119">
        <f t="shared" si="9"/>
        <v>186068.16</v>
      </c>
      <c r="X19" s="119">
        <f t="shared" si="10"/>
        <v>372136.32</v>
      </c>
      <c r="Y19" s="119">
        <f t="shared" si="11"/>
        <v>1804582.04976</v>
      </c>
      <c r="Z19" s="119">
        <f t="shared" si="12"/>
        <v>13976540.849760002</v>
      </c>
      <c r="AA19" s="159"/>
      <c r="AB19" s="160">
        <f t="shared" si="13"/>
        <v>13976540.849760002</v>
      </c>
      <c r="AC19" s="120">
        <f t="shared" si="14"/>
        <v>1164711.7374800001</v>
      </c>
      <c r="AD19" s="120">
        <f t="shared" si="15"/>
        <v>69882.7042488</v>
      </c>
      <c r="AE19" s="120">
        <f t="shared" si="16"/>
        <v>1234594.4417288003</v>
      </c>
      <c r="AF19" s="121"/>
      <c r="AG19" s="122"/>
      <c r="AH19" s="123"/>
      <c r="AI19" s="120">
        <f t="shared" si="17"/>
        <v>14815133.300745603</v>
      </c>
      <c r="AJ19" s="43"/>
    </row>
    <row r="20" spans="1:36" ht="15.75" thickBot="1">
      <c r="A20" s="43"/>
      <c r="B20" s="161" t="s">
        <v>117</v>
      </c>
      <c r="C20" s="162"/>
      <c r="D20" s="163"/>
      <c r="E20" s="164"/>
      <c r="F20" s="119">
        <f t="shared" si="2"/>
        <v>12730.4</v>
      </c>
      <c r="G20" s="165">
        <v>381912</v>
      </c>
      <c r="H20" s="165"/>
      <c r="I20" s="165"/>
      <c r="J20" s="159">
        <f t="shared" si="3"/>
        <v>4582944</v>
      </c>
      <c r="K20" s="165">
        <f t="shared" si="4"/>
        <v>360</v>
      </c>
      <c r="L20" s="165">
        <v>0</v>
      </c>
      <c r="M20" s="165">
        <f>+K20-L20</f>
        <v>360</v>
      </c>
      <c r="N20" s="165" t="e">
        <f>+#REF!/30*M20</f>
        <v>#REF!</v>
      </c>
      <c r="O20" s="165" t="e">
        <f>+N20+I20</f>
        <v>#REF!</v>
      </c>
      <c r="P20" s="165" t="e">
        <f>+O20-Q20</f>
        <v>#REF!</v>
      </c>
      <c r="Q20" s="165">
        <f t="shared" si="5"/>
        <v>190956</v>
      </c>
      <c r="R20" s="165">
        <f t="shared" si="6"/>
        <v>381912</v>
      </c>
      <c r="S20" s="165">
        <v>499200</v>
      </c>
      <c r="T20" s="165">
        <v>381912</v>
      </c>
      <c r="U20" s="165">
        <f t="shared" si="7"/>
        <v>45829.439999999995</v>
      </c>
      <c r="V20" s="119">
        <f t="shared" si="8"/>
        <v>137488.32</v>
      </c>
      <c r="W20" s="119">
        <f t="shared" si="9"/>
        <v>91658.88</v>
      </c>
      <c r="X20" s="119">
        <f t="shared" si="10"/>
        <v>183317.76</v>
      </c>
      <c r="Y20" s="119">
        <f t="shared" si="11"/>
        <v>888953.64768</v>
      </c>
      <c r="Z20" s="119">
        <f t="shared" si="12"/>
        <v>7384172.047680001</v>
      </c>
      <c r="AA20" s="165">
        <v>255000</v>
      </c>
      <c r="AB20" s="166">
        <f t="shared" si="13"/>
        <v>7639172.047680001</v>
      </c>
      <c r="AC20" s="167">
        <f t="shared" si="14"/>
        <v>636597.67064</v>
      </c>
      <c r="AD20" s="167">
        <f t="shared" si="15"/>
        <v>38195.8602384</v>
      </c>
      <c r="AE20" s="167">
        <f t="shared" si="16"/>
        <v>674793.5308784001</v>
      </c>
      <c r="AF20" s="121"/>
      <c r="AG20" s="122"/>
      <c r="AH20" s="123"/>
      <c r="AI20" s="167">
        <f t="shared" si="17"/>
        <v>8097522.370540801</v>
      </c>
      <c r="AJ20" s="43"/>
    </row>
    <row r="21" spans="1:36" ht="15.75" thickBot="1">
      <c r="A21" s="43"/>
      <c r="B21" s="168" t="s">
        <v>164</v>
      </c>
      <c r="C21" s="169"/>
      <c r="D21" s="170"/>
      <c r="E21" s="171"/>
      <c r="F21" s="172">
        <f>SUM(F14:F20)</f>
        <v>179018.69999999998</v>
      </c>
      <c r="G21" s="172">
        <f>SUM(G14:G20)</f>
        <v>5370561</v>
      </c>
      <c r="H21" s="172"/>
      <c r="I21" s="173"/>
      <c r="J21" s="174">
        <f aca="true" t="shared" si="18" ref="J21:AE21">SUM(J14:J20)</f>
        <v>64446732</v>
      </c>
      <c r="K21" s="170">
        <f t="shared" si="18"/>
        <v>2520</v>
      </c>
      <c r="L21" s="172">
        <f t="shared" si="18"/>
        <v>0</v>
      </c>
      <c r="M21" s="172">
        <f t="shared" si="18"/>
        <v>1800</v>
      </c>
      <c r="N21" s="172" t="e">
        <f t="shared" si="18"/>
        <v>#REF!</v>
      </c>
      <c r="O21" s="172" t="e">
        <f t="shared" si="18"/>
        <v>#REF!</v>
      </c>
      <c r="P21" s="172" t="e">
        <f t="shared" si="18"/>
        <v>#REF!</v>
      </c>
      <c r="Q21" s="172">
        <f t="shared" si="18"/>
        <v>2685280.5</v>
      </c>
      <c r="R21" s="172">
        <f t="shared" si="18"/>
        <v>5370561</v>
      </c>
      <c r="S21" s="172">
        <f t="shared" si="18"/>
        <v>1497600</v>
      </c>
      <c r="T21" s="172">
        <f t="shared" si="18"/>
        <v>5370561</v>
      </c>
      <c r="U21" s="172">
        <f t="shared" si="18"/>
        <v>644467.32</v>
      </c>
      <c r="V21" s="172">
        <f t="shared" si="18"/>
        <v>1933401.96</v>
      </c>
      <c r="W21" s="172">
        <f t="shared" si="18"/>
        <v>1288934.6400000001</v>
      </c>
      <c r="X21" s="172">
        <f t="shared" si="18"/>
        <v>2577869.2800000003</v>
      </c>
      <c r="Y21" s="172">
        <f t="shared" si="18"/>
        <v>12500732.606040003</v>
      </c>
      <c r="Z21" s="172">
        <f t="shared" si="18"/>
        <v>98316140.30604</v>
      </c>
      <c r="AA21" s="172">
        <f t="shared" si="18"/>
        <v>765000</v>
      </c>
      <c r="AB21" s="175">
        <f t="shared" si="18"/>
        <v>99081140.30604</v>
      </c>
      <c r="AC21" s="130">
        <f t="shared" si="18"/>
        <v>8256761.692170001</v>
      </c>
      <c r="AD21" s="130">
        <f t="shared" si="18"/>
        <v>495405.70153019996</v>
      </c>
      <c r="AE21" s="131">
        <f t="shared" si="18"/>
        <v>8752167.393700201</v>
      </c>
      <c r="AF21" s="176"/>
      <c r="AG21" s="176"/>
      <c r="AH21" s="176"/>
      <c r="AI21" s="131">
        <f>SUM(AI14:AI20)</f>
        <v>105026008.7244024</v>
      </c>
      <c r="AJ21" s="43"/>
    </row>
    <row r="22" spans="1:36" ht="15" thickBot="1">
      <c r="A22" s="43"/>
      <c r="B22" s="177" t="s">
        <v>98</v>
      </c>
      <c r="C22" s="178"/>
      <c r="D22" s="178"/>
      <c r="E22" s="179"/>
      <c r="F22" s="178">
        <f>+F21+F12+F9</f>
        <v>350308.6333333333</v>
      </c>
      <c r="G22" s="178">
        <f>+G21+G12+G9</f>
        <v>10509259</v>
      </c>
      <c r="H22" s="178"/>
      <c r="I22" s="178"/>
      <c r="J22" s="178">
        <f>+J21+J12+J9</f>
        <v>126111108</v>
      </c>
      <c r="K22" s="178">
        <f>+K21</f>
        <v>2520</v>
      </c>
      <c r="L22" s="178"/>
      <c r="M22" s="178"/>
      <c r="N22" s="178" t="e">
        <f>+N9+#REF!+N12+N21</f>
        <v>#REF!</v>
      </c>
      <c r="O22" s="178" t="e">
        <f>+O9+#REF!+O12+O21</f>
        <v>#REF!</v>
      </c>
      <c r="P22" s="178" t="e">
        <f>+P9+#REF!+P12+P21</f>
        <v>#REF!</v>
      </c>
      <c r="Q22" s="178">
        <f>+Q21+Q12+Q9</f>
        <v>5254629.5</v>
      </c>
      <c r="R22" s="178">
        <f>+R21+R12+R9</f>
        <v>10509259</v>
      </c>
      <c r="S22" s="178">
        <f>+S21</f>
        <v>1497600</v>
      </c>
      <c r="T22" s="178">
        <f>+T21+T12+T9</f>
        <v>10509259</v>
      </c>
      <c r="U22" s="178">
        <f>+U21+U9+U12</f>
        <v>1261111.08</v>
      </c>
      <c r="V22" s="178">
        <f>+V21+V9+V12</f>
        <v>3783333.24</v>
      </c>
      <c r="W22" s="178">
        <f aca="true" t="shared" si="19" ref="W22:AE22">+W21+W12+W9</f>
        <v>2522222.16</v>
      </c>
      <c r="X22" s="178">
        <f t="shared" si="19"/>
        <v>5044444.32</v>
      </c>
      <c r="Y22" s="178">
        <f t="shared" si="19"/>
        <v>24461771.618760005</v>
      </c>
      <c r="Z22" s="178">
        <f t="shared" si="19"/>
        <v>190954737.91876</v>
      </c>
      <c r="AA22" s="178">
        <f t="shared" si="19"/>
        <v>765000</v>
      </c>
      <c r="AB22" s="180">
        <f t="shared" si="19"/>
        <v>191719737.91876</v>
      </c>
      <c r="AC22" s="181">
        <f t="shared" si="19"/>
        <v>15976644.826563336</v>
      </c>
      <c r="AD22" s="131">
        <f t="shared" si="19"/>
        <v>958598.6895937999</v>
      </c>
      <c r="AE22" s="131">
        <f t="shared" si="19"/>
        <v>16935243.516157135</v>
      </c>
      <c r="AF22" s="104"/>
      <c r="AG22" s="104"/>
      <c r="AH22" s="104"/>
      <c r="AI22" s="131">
        <f>+AI21+AI12+AI9</f>
        <v>203222922.19388562</v>
      </c>
      <c r="AJ22" s="43"/>
    </row>
    <row r="23" spans="1:36" ht="12.75">
      <c r="A23" s="43"/>
      <c r="B23" s="45"/>
      <c r="C23" s="45"/>
      <c r="D23" s="45"/>
      <c r="E23" s="46"/>
      <c r="F23" s="46"/>
      <c r="G23" s="45"/>
      <c r="H23" s="45"/>
      <c r="I23" s="45"/>
      <c r="J23" s="45"/>
      <c r="K23" s="45"/>
      <c r="L23" s="45"/>
      <c r="M23" s="47"/>
      <c r="N23" s="45"/>
      <c r="O23" s="45"/>
      <c r="P23" s="45"/>
      <c r="Q23" s="45"/>
      <c r="R23" s="45"/>
      <c r="S23" s="45"/>
      <c r="T23" s="45"/>
      <c r="U23" s="45"/>
      <c r="V23" s="45"/>
      <c r="W23" s="45"/>
      <c r="X23" s="45"/>
      <c r="Y23" s="45"/>
      <c r="Z23" s="45"/>
      <c r="AA23" s="45"/>
      <c r="AB23" s="45"/>
      <c r="AC23" s="48"/>
      <c r="AD23" s="48"/>
      <c r="AE23" s="49"/>
      <c r="AF23" s="43"/>
      <c r="AG23" s="43"/>
      <c r="AH23" s="43"/>
      <c r="AI23" s="43"/>
      <c r="AJ23" s="43"/>
    </row>
    <row r="24" spans="1:36" ht="12.75">
      <c r="A24" s="43"/>
      <c r="B24" s="45"/>
      <c r="C24" s="45"/>
      <c r="D24" s="45"/>
      <c r="E24" s="46"/>
      <c r="F24" s="46"/>
      <c r="G24" s="45"/>
      <c r="H24" s="45"/>
      <c r="I24" s="45"/>
      <c r="J24" s="45"/>
      <c r="K24" s="45"/>
      <c r="L24" s="45"/>
      <c r="M24" s="45"/>
      <c r="N24" s="45"/>
      <c r="O24" s="45"/>
      <c r="P24" s="45"/>
      <c r="Q24" s="45"/>
      <c r="R24" s="45"/>
      <c r="S24" s="45"/>
      <c r="T24" s="45"/>
      <c r="U24" s="45"/>
      <c r="V24" s="45"/>
      <c r="W24" s="45"/>
      <c r="X24" s="45"/>
      <c r="Y24" s="45"/>
      <c r="Z24" s="45"/>
      <c r="AA24" s="45"/>
      <c r="AB24" s="45"/>
      <c r="AC24" s="43"/>
      <c r="AD24" s="43"/>
      <c r="AE24" s="50"/>
      <c r="AF24" s="43"/>
      <c r="AG24" s="43"/>
      <c r="AH24" s="43"/>
      <c r="AI24" s="43"/>
      <c r="AJ24" s="43"/>
    </row>
    <row r="25" spans="1:36" ht="12.75">
      <c r="A25" s="43"/>
      <c r="B25" s="45"/>
      <c r="C25" s="45"/>
      <c r="D25" s="45"/>
      <c r="E25" s="46"/>
      <c r="F25" s="46"/>
      <c r="G25" s="45"/>
      <c r="H25" s="45"/>
      <c r="I25" s="45"/>
      <c r="J25" s="45"/>
      <c r="K25" s="45"/>
      <c r="L25" s="45"/>
      <c r="M25" s="45"/>
      <c r="N25" s="45"/>
      <c r="O25" s="45"/>
      <c r="P25" s="45"/>
      <c r="Q25" s="45"/>
      <c r="R25" s="45"/>
      <c r="S25" s="45"/>
      <c r="T25" s="45"/>
      <c r="U25" s="45"/>
      <c r="V25" s="45"/>
      <c r="W25" s="45"/>
      <c r="X25" s="45"/>
      <c r="Y25" s="45"/>
      <c r="Z25" s="45"/>
      <c r="AA25" s="45"/>
      <c r="AB25" s="45"/>
      <c r="AC25" s="43"/>
      <c r="AD25" s="43"/>
      <c r="AE25" s="50"/>
      <c r="AF25" s="43"/>
      <c r="AG25" s="43"/>
      <c r="AH25" s="43"/>
      <c r="AI25" s="51"/>
      <c r="AJ25" s="43"/>
    </row>
    <row r="26" spans="1:36" ht="12.75">
      <c r="A26" s="43"/>
      <c r="B26" s="43"/>
      <c r="C26" s="43"/>
      <c r="D26" s="43"/>
      <c r="E26" s="52"/>
      <c r="F26" s="52"/>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row>
    <row r="27" spans="1:36" ht="12.75">
      <c r="A27" s="43"/>
      <c r="B27" s="43"/>
      <c r="C27" s="43"/>
      <c r="D27" s="43"/>
      <c r="E27" s="52"/>
      <c r="F27" s="52"/>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row>
    <row r="28" spans="1:36" ht="12.75">
      <c r="A28" s="39"/>
      <c r="B28" s="43"/>
      <c r="C28" s="43"/>
      <c r="D28" s="43"/>
      <c r="E28" s="52"/>
      <c r="F28" s="52"/>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39"/>
    </row>
    <row r="29" spans="1:36" ht="12.75">
      <c r="A29" s="43"/>
      <c r="B29" s="43"/>
      <c r="C29" s="43"/>
      <c r="D29" s="43"/>
      <c r="E29" s="52"/>
      <c r="F29" s="52"/>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row>
    <row r="30" spans="1:36" ht="12.75">
      <c r="A30" s="43"/>
      <c r="B30" s="43"/>
      <c r="C30" s="43"/>
      <c r="D30" s="43"/>
      <c r="E30" s="52"/>
      <c r="F30" s="52"/>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8"/>
    </row>
    <row r="31" spans="1:36" ht="12.75">
      <c r="A31" s="43"/>
      <c r="B31" s="43"/>
      <c r="C31" s="43"/>
      <c r="D31" s="43"/>
      <c r="E31" s="52"/>
      <c r="F31" s="52"/>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row>
    <row r="32" spans="1:36" ht="12.75">
      <c r="A32" s="43"/>
      <c r="B32" s="43"/>
      <c r="C32" s="43"/>
      <c r="D32" s="43"/>
      <c r="E32" s="52"/>
      <c r="F32" s="52"/>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row>
    <row r="33" spans="1:36" ht="12.75">
      <c r="A33" s="43"/>
      <c r="B33" s="43"/>
      <c r="C33" s="43"/>
      <c r="D33" s="43"/>
      <c r="E33" s="52"/>
      <c r="F33" s="52"/>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row>
    <row r="34" spans="1:36" ht="12.75">
      <c r="A34" s="43"/>
      <c r="B34" s="43"/>
      <c r="C34" s="43"/>
      <c r="D34" s="43"/>
      <c r="E34" s="52"/>
      <c r="F34" s="52"/>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row>
    <row r="35" spans="1:36" ht="12.75">
      <c r="A35" s="43"/>
      <c r="B35" s="43"/>
      <c r="C35" s="43"/>
      <c r="D35" s="43"/>
      <c r="E35" s="52"/>
      <c r="F35" s="52"/>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row>
    <row r="36" spans="1:36" ht="12.75">
      <c r="A36" s="43"/>
      <c r="B36" s="43"/>
      <c r="C36" s="43"/>
      <c r="D36" s="43"/>
      <c r="E36" s="52"/>
      <c r="F36" s="52"/>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row>
    <row r="37" spans="1:36" ht="12.75">
      <c r="A37" s="43"/>
      <c r="B37" s="43"/>
      <c r="C37" s="43"/>
      <c r="D37" s="43"/>
      <c r="E37" s="52"/>
      <c r="F37" s="52"/>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row>
    <row r="38" spans="1:36" ht="12.75">
      <c r="A38" s="43"/>
      <c r="B38" s="43"/>
      <c r="C38" s="43"/>
      <c r="D38" s="43"/>
      <c r="E38" s="52"/>
      <c r="F38" s="52"/>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row>
    <row r="39" spans="1:36" ht="12.75">
      <c r="A39" s="43"/>
      <c r="B39" s="43"/>
      <c r="C39" s="43"/>
      <c r="D39" s="43"/>
      <c r="E39" s="52"/>
      <c r="F39" s="52"/>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row>
    <row r="40" spans="1:36" ht="12.75">
      <c r="A40" s="43"/>
      <c r="B40" s="43"/>
      <c r="C40" s="43"/>
      <c r="D40" s="43"/>
      <c r="E40" s="52"/>
      <c r="F40" s="52"/>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row>
    <row r="41" spans="1:36" ht="12.75">
      <c r="A41" s="43"/>
      <c r="B41" s="43"/>
      <c r="C41" s="43"/>
      <c r="D41" s="43"/>
      <c r="E41" s="52"/>
      <c r="F41" s="52"/>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row>
    <row r="42" spans="1:36" ht="12.75">
      <c r="A42" s="43"/>
      <c r="B42" s="43"/>
      <c r="C42" s="43"/>
      <c r="D42" s="43"/>
      <c r="E42" s="52"/>
      <c r="F42" s="52"/>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row>
    <row r="43" spans="1:36" ht="12.75">
      <c r="A43" s="43"/>
      <c r="B43" s="43"/>
      <c r="C43" s="43"/>
      <c r="D43" s="43"/>
      <c r="E43" s="52"/>
      <c r="F43" s="52"/>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row>
    <row r="44" spans="1:36" ht="12.75">
      <c r="A44" s="43"/>
      <c r="B44" s="43"/>
      <c r="C44" s="43"/>
      <c r="D44" s="43"/>
      <c r="E44" s="52"/>
      <c r="F44" s="52"/>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row>
    <row r="45" spans="1:36" ht="12.75">
      <c r="A45" s="43"/>
      <c r="B45" s="43"/>
      <c r="C45" s="43"/>
      <c r="D45" s="43"/>
      <c r="E45" s="52"/>
      <c r="F45" s="52"/>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row>
    <row r="46" spans="1:36" ht="12.75">
      <c r="A46" s="43"/>
      <c r="B46" s="43"/>
      <c r="C46" s="43"/>
      <c r="D46" s="43"/>
      <c r="E46" s="52"/>
      <c r="F46" s="52"/>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row>
    <row r="47" spans="1:36" ht="12.75">
      <c r="A47" s="43"/>
      <c r="B47" s="43"/>
      <c r="C47" s="43"/>
      <c r="D47" s="43"/>
      <c r="E47" s="52"/>
      <c r="F47" s="52"/>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row>
    <row r="48" spans="1:36" ht="12.75">
      <c r="A48" s="43"/>
      <c r="B48" s="43"/>
      <c r="C48" s="43"/>
      <c r="D48" s="43"/>
      <c r="E48" s="52"/>
      <c r="F48" s="52"/>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row>
    <row r="49" spans="1:36" ht="12.75">
      <c r="A49" s="43"/>
      <c r="B49" s="43"/>
      <c r="C49" s="43"/>
      <c r="D49" s="43"/>
      <c r="E49" s="52"/>
      <c r="F49" s="52"/>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row>
    <row r="50" spans="1:36" ht="12.75">
      <c r="A50" s="43"/>
      <c r="B50" s="43"/>
      <c r="C50" s="43"/>
      <c r="D50" s="43"/>
      <c r="E50" s="52"/>
      <c r="F50" s="52"/>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row>
    <row r="51" spans="1:36" ht="12.75">
      <c r="A51" s="43"/>
      <c r="B51" s="43"/>
      <c r="C51" s="43"/>
      <c r="D51" s="43"/>
      <c r="E51" s="52"/>
      <c r="F51" s="52"/>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row>
    <row r="52" spans="1:36" ht="12.75">
      <c r="A52" s="43"/>
      <c r="B52" s="43"/>
      <c r="C52" s="43"/>
      <c r="D52" s="43"/>
      <c r="E52" s="52"/>
      <c r="F52" s="52"/>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row>
    <row r="53" spans="1:36" ht="12.75">
      <c r="A53" s="43"/>
      <c r="B53" s="43"/>
      <c r="C53" s="43"/>
      <c r="D53" s="43"/>
      <c r="E53" s="52"/>
      <c r="F53" s="52"/>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row>
    <row r="54" spans="1:36" ht="12.75">
      <c r="A54" s="43"/>
      <c r="B54" s="43"/>
      <c r="C54" s="43"/>
      <c r="D54" s="43"/>
      <c r="E54" s="52"/>
      <c r="F54" s="52"/>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row>
    <row r="55" spans="1:36" ht="12.75">
      <c r="A55" s="43"/>
      <c r="B55" s="43"/>
      <c r="C55" s="43"/>
      <c r="D55" s="43"/>
      <c r="E55" s="52"/>
      <c r="F55" s="52"/>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row>
    <row r="56" spans="1:36" ht="12.75">
      <c r="A56" s="43"/>
      <c r="B56" s="43"/>
      <c r="C56" s="43"/>
      <c r="D56" s="43"/>
      <c r="E56" s="52"/>
      <c r="F56" s="52"/>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row>
    <row r="57" spans="1:36" ht="12.75">
      <c r="A57" s="43"/>
      <c r="B57" s="43"/>
      <c r="C57" s="43"/>
      <c r="D57" s="43"/>
      <c r="E57" s="52"/>
      <c r="F57" s="52"/>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row>
    <row r="58" spans="1:36" ht="12.75">
      <c r="A58" s="43"/>
      <c r="B58" s="43"/>
      <c r="C58" s="43"/>
      <c r="D58" s="43"/>
      <c r="E58" s="52"/>
      <c r="F58" s="52"/>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row>
    <row r="59" spans="1:36" ht="12.75">
      <c r="A59" s="43"/>
      <c r="B59" s="43"/>
      <c r="C59" s="43"/>
      <c r="D59" s="43"/>
      <c r="E59" s="52"/>
      <c r="F59" s="52"/>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row>
    <row r="60" spans="1:36" ht="12.75">
      <c r="A60" s="43"/>
      <c r="B60" s="43"/>
      <c r="C60" s="43"/>
      <c r="D60" s="43"/>
      <c r="E60" s="52"/>
      <c r="F60" s="52"/>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row>
    <row r="61" spans="1:36" ht="12.75">
      <c r="A61" s="43"/>
      <c r="B61" s="43"/>
      <c r="C61" s="43"/>
      <c r="D61" s="43"/>
      <c r="E61" s="52"/>
      <c r="F61" s="52"/>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row>
    <row r="62" spans="1:36" ht="12.75">
      <c r="A62" s="43"/>
      <c r="B62" s="43"/>
      <c r="C62" s="43"/>
      <c r="D62" s="43"/>
      <c r="E62" s="52"/>
      <c r="F62" s="52"/>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row>
    <row r="63" spans="1:36" ht="12.75">
      <c r="A63" s="43"/>
      <c r="B63" s="43"/>
      <c r="C63" s="43"/>
      <c r="D63" s="43"/>
      <c r="E63" s="52"/>
      <c r="F63" s="52"/>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row>
    <row r="64" spans="1:36" ht="12.75">
      <c r="A64" s="43"/>
      <c r="B64" s="43"/>
      <c r="C64" s="43"/>
      <c r="D64" s="43"/>
      <c r="E64" s="52"/>
      <c r="F64" s="52"/>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row>
    <row r="65" spans="1:36" ht="12.75">
      <c r="A65" s="43"/>
      <c r="B65" s="43"/>
      <c r="C65" s="43"/>
      <c r="D65" s="43"/>
      <c r="E65" s="52"/>
      <c r="F65" s="52"/>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row>
    <row r="66" spans="1:36" ht="12.75">
      <c r="A66" s="43"/>
      <c r="B66" s="43"/>
      <c r="C66" s="43"/>
      <c r="D66" s="43"/>
      <c r="E66" s="52"/>
      <c r="F66" s="52"/>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row>
    <row r="67" spans="1:36" ht="12.75">
      <c r="A67" s="43"/>
      <c r="B67" s="43"/>
      <c r="C67" s="43"/>
      <c r="D67" s="43"/>
      <c r="E67" s="52"/>
      <c r="F67" s="52"/>
      <c r="G67" s="43"/>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row>
    <row r="68" spans="1:36" ht="12.75">
      <c r="A68" s="43"/>
      <c r="B68" s="43"/>
      <c r="C68" s="43"/>
      <c r="D68" s="43"/>
      <c r="E68" s="52"/>
      <c r="F68" s="52"/>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row>
    <row r="69" spans="1:36" ht="12.75">
      <c r="A69" s="43"/>
      <c r="B69" s="43"/>
      <c r="C69" s="43"/>
      <c r="D69" s="43"/>
      <c r="E69" s="52"/>
      <c r="F69" s="52"/>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row>
    <row r="70" spans="1:36" ht="12.75">
      <c r="A70" s="43"/>
      <c r="B70" s="43"/>
      <c r="C70" s="43"/>
      <c r="D70" s="43"/>
      <c r="E70" s="52"/>
      <c r="F70" s="52"/>
      <c r="G70" s="43"/>
      <c r="H70" s="43"/>
      <c r="I70" s="43"/>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43"/>
      <c r="AI70" s="43"/>
      <c r="AJ70" s="43"/>
    </row>
    <row r="71" spans="1:36" ht="12.75">
      <c r="A71" s="43"/>
      <c r="B71" s="43"/>
      <c r="C71" s="43"/>
      <c r="D71" s="43"/>
      <c r="E71" s="52"/>
      <c r="F71" s="52"/>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row>
    <row r="72" spans="1:36" ht="12.75">
      <c r="A72" s="43"/>
      <c r="B72" s="43"/>
      <c r="C72" s="43"/>
      <c r="D72" s="43"/>
      <c r="E72" s="52"/>
      <c r="F72" s="52"/>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row>
    <row r="73" spans="1:36" ht="12.75">
      <c r="A73" s="43"/>
      <c r="B73" s="43"/>
      <c r="C73" s="43"/>
      <c r="D73" s="43"/>
      <c r="E73" s="52"/>
      <c r="F73" s="52"/>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row>
    <row r="74" spans="1:36" ht="12.75">
      <c r="A74" s="43"/>
      <c r="B74" s="43"/>
      <c r="C74" s="43"/>
      <c r="D74" s="43"/>
      <c r="E74" s="52"/>
      <c r="F74" s="52"/>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row>
    <row r="75" spans="1:36" ht="12.75">
      <c r="A75" s="43"/>
      <c r="B75" s="43"/>
      <c r="C75" s="43"/>
      <c r="D75" s="43"/>
      <c r="E75" s="52"/>
      <c r="F75" s="52"/>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row>
    <row r="76" spans="1:36" ht="12.75">
      <c r="A76" s="43"/>
      <c r="B76" s="43"/>
      <c r="C76" s="43"/>
      <c r="D76" s="43"/>
      <c r="E76" s="52"/>
      <c r="F76" s="52"/>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row>
    <row r="77" spans="1:36" ht="12.75">
      <c r="A77" s="43"/>
      <c r="B77" s="43"/>
      <c r="C77" s="43"/>
      <c r="D77" s="43"/>
      <c r="E77" s="52"/>
      <c r="F77" s="52"/>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row>
    <row r="78" spans="1:36" ht="12.75">
      <c r="A78" s="43"/>
      <c r="B78" s="43"/>
      <c r="C78" s="43"/>
      <c r="D78" s="43"/>
      <c r="E78" s="52"/>
      <c r="F78" s="52"/>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row>
    <row r="79" spans="1:36" ht="12.75">
      <c r="A79" s="43"/>
      <c r="B79" s="43"/>
      <c r="C79" s="43"/>
      <c r="D79" s="43"/>
      <c r="E79" s="52"/>
      <c r="F79" s="52"/>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row>
    <row r="80" spans="1:36" ht="12.75">
      <c r="A80" s="43"/>
      <c r="B80" s="43"/>
      <c r="C80" s="43"/>
      <c r="D80" s="43"/>
      <c r="E80" s="52"/>
      <c r="F80" s="52"/>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row>
    <row r="81" spans="1:36" ht="12.75">
      <c r="A81" s="43"/>
      <c r="B81" s="43"/>
      <c r="C81" s="43"/>
      <c r="D81" s="43"/>
      <c r="E81" s="52"/>
      <c r="F81" s="52"/>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row>
    <row r="82" spans="1:36" ht="12.75">
      <c r="A82" s="43"/>
      <c r="AJ82" s="43"/>
    </row>
    <row r="83" spans="1:36" ht="12.75">
      <c r="A83" s="43"/>
      <c r="AJ83" s="43"/>
    </row>
    <row r="84" spans="1:36" ht="12.75">
      <c r="A84" s="43"/>
      <c r="AJ84" s="43"/>
    </row>
    <row r="85" spans="1:36" ht="12.75">
      <c r="A85" s="43"/>
      <c r="AJ85" s="43"/>
    </row>
    <row r="86" spans="1:36" ht="12.75">
      <c r="A86" s="43"/>
      <c r="AJ86" s="43"/>
    </row>
    <row r="87" spans="1:36" ht="12.75">
      <c r="A87" s="43"/>
      <c r="AJ87" s="43"/>
    </row>
  </sheetData>
  <sheetProtection/>
  <mergeCells count="6">
    <mergeCell ref="Z5:Z6"/>
    <mergeCell ref="AA5:AA6"/>
    <mergeCell ref="B5:B6"/>
    <mergeCell ref="K5:K6"/>
    <mergeCell ref="Q5:Q6"/>
    <mergeCell ref="R5:R6"/>
  </mergeCells>
  <printOptions horizontalCentered="1" verticalCentered="1"/>
  <pageMargins left="0.75" right="0.75" top="1" bottom="1" header="0" footer="0"/>
  <pageSetup horizontalDpi="600" verticalDpi="600" orientation="landscape" paperSize="5"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Fondo  Nal. de la Porcicultura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davidgomez</dc:creator>
  <cp:keywords/>
  <dc:description/>
  <cp:lastModifiedBy>Sandra Gonzalez</cp:lastModifiedBy>
  <cp:lastPrinted>2009-05-12T21:41:14Z</cp:lastPrinted>
  <dcterms:created xsi:type="dcterms:W3CDTF">2004-09-15T00:05:45Z</dcterms:created>
  <dcterms:modified xsi:type="dcterms:W3CDTF">2019-10-15T19:44:08Z</dcterms:modified>
  <cp:category/>
  <cp:version/>
  <cp:contentType/>
  <cp:contentStatus/>
</cp:coreProperties>
</file>