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90" yWindow="65491" windowWidth="7650" windowHeight="7785" activeTab="0"/>
  </bookViews>
  <sheets>
    <sheet name="INGRESOS" sheetId="1" r:id="rId1"/>
    <sheet name="Otros ingresos" sheetId="2" state="hidden" r:id="rId2"/>
    <sheet name="Presupuesto general" sheetId="3" state="hidden" r:id="rId3"/>
    <sheet name="2004VS2005" sheetId="4" state="hidden" r:id="rId4"/>
    <sheet name="rendimientos" sheetId="5" state="hidden" r:id="rId5"/>
    <sheet name="Escenario PPC " sheetId="6" state="hidden" r:id="rId6"/>
    <sheet name="Ejecución ingresos 2010" sheetId="7" state="hidden" r:id="rId7"/>
    <sheet name="Ejecución gastos 2010" sheetId="8" state="hidden" r:id="rId8"/>
    <sheet name="Superavit 2010" sheetId="9" state="hidden" r:id="rId9"/>
    <sheet name="GASTOS" sheetId="10" state="hidden" r:id="rId10"/>
    <sheet name="Anexo 3 " sheetId="11" state="hidden" r:id="rId11"/>
    <sheet name="Anexo 4" sheetId="12" state="hidden" r:id="rId12"/>
    <sheet name="Funcionamiento" sheetId="13" state="hidden" r:id="rId13"/>
    <sheet name="Nómina y honorarios 2011" sheetId="14" state="hidden" r:id="rId14"/>
    <sheet name="Comparativo nómina 2010-2011" sheetId="15" state="hidden" r:id="rId15"/>
    <sheet name="Inversión total en programas" sheetId="16" state="hidden" r:id="rId16"/>
    <sheet name="MODELO CONTRATISTAS" sheetId="17" state="hidden" r:id="rId17"/>
    <sheet name="Servicios personal 2005" sheetId="18" state="hidden" r:id="rId18"/>
    <sheet name="Nómina 2004" sheetId="19" state="hidden"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xlnm._FilterDatabase" hidden="1">'MODELO CONTRATISTAS'!$A$4:$J$40</definedName>
    <definedName name="_xlnm.Print_Area" localSheetId="10">'Anexo 3 '!$A$1:$E$87</definedName>
    <definedName name="_xlnm.Print_Area" localSheetId="7">'Ejecución gastos 2010'!$A$1:$V$184</definedName>
    <definedName name="_xlnm.Print_Area" localSheetId="6">'Ejecución ingresos 2010'!$A$1:$G$43</definedName>
    <definedName name="_xlnm.Print_Area" localSheetId="12">'Funcionamiento'!$A$1:$T$38</definedName>
    <definedName name="_xlnm.Print_Area" localSheetId="9">'GASTOS'!$A$1:$I$172</definedName>
    <definedName name="_xlnm.Print_Area" localSheetId="0">'INGRESOS'!$A$1:$F$71</definedName>
    <definedName name="_xlnm.Print_Area" localSheetId="15">'Inversión total en programas'!$A$6:$D$106</definedName>
    <definedName name="_xlnm.Print_Area" localSheetId="13">'Nómina y honorarios 2011'!$A$1:$Z$110</definedName>
    <definedName name="_xlnm.Print_Area" localSheetId="1">'Otros ingresos'!$A$1:$E$34</definedName>
    <definedName name="_xlnm.Print_Area" localSheetId="2">'Presupuesto general'!$A$1:$F$63</definedName>
    <definedName name="_xlnm.Print_Area" localSheetId="8">'Superavit 2010'!$A$1:$K$22</definedName>
    <definedName name="ASISCALLCENTER">#REF!</definedName>
    <definedName name="ASISCONTABPPC">#REF!</definedName>
    <definedName name="ASISDESPACHOS">#REF!</definedName>
    <definedName name="ASISICA">#REF!</definedName>
    <definedName name="AUXBODEGA">#REF!</definedName>
    <definedName name="CABEZAS_PROYEC" localSheetId="10">'[15]Anexo 1 Minagricultura'!$C$46</definedName>
    <definedName name="CABEZAS_PROYEC" localSheetId="11">'[15]Anexo 1 Minagricultura'!$C$46</definedName>
    <definedName name="CABEZAS_PROYEC" localSheetId="14">'[15]Anexo 1 Minagricultura'!$C$46</definedName>
    <definedName name="CABEZAS_PROYEC" localSheetId="7">#REF!</definedName>
    <definedName name="CABEZAS_PROYEC" localSheetId="5">'[10]INGRESOS 2011'!#REF!</definedName>
    <definedName name="CABEZAS_PROYEC">'INGRESOS'!$C$46</definedName>
    <definedName name="CUOTAPPC2005" localSheetId="10">'[15]Anexo 1 Minagricultura'!$D$15</definedName>
    <definedName name="CUOTAPPC2005" localSheetId="11">'[15]Anexo 1 Minagricultura'!$D$15</definedName>
    <definedName name="CUOTAPPC2005" localSheetId="14">'[15]Anexo 1 Minagricultura'!$D$15</definedName>
    <definedName name="CUOTAPPC2005" localSheetId="7">#REF!</definedName>
    <definedName name="CUOTAPPC2005" localSheetId="5">'[10]INGRESOS 2011'!#REF!</definedName>
    <definedName name="CUOTAPPC2005">'INGRESOS'!$D$15</definedName>
    <definedName name="DIAG_PPC" localSheetId="10">'[15]Inversión total en programas'!$B$86</definedName>
    <definedName name="DIAG_PPC" localSheetId="11">'[15]Inversión total en programas'!$B$86</definedName>
    <definedName name="DIAG_PPC" localSheetId="14">'[15]Inversión total en programas'!$B$86</definedName>
    <definedName name="DIAG_PPC" localSheetId="7">'[7]Inversión total en programas'!$B$86</definedName>
    <definedName name="DIAG_PPC">'Inversión total en programas'!$B$86</definedName>
    <definedName name="eeeee" localSheetId="10">'[15]Superávit 2008'!#REF!</definedName>
    <definedName name="eeeee" localSheetId="11">'[15]Superávit 2008'!#REF!</definedName>
    <definedName name="eeeee" localSheetId="14">'[15]Superávit 2008'!#REF!</definedName>
    <definedName name="eeeee" localSheetId="7">#REF!</definedName>
    <definedName name="eeeee" localSheetId="5">'[11]Superávit 2007'!#REF!</definedName>
    <definedName name="eeeee">'Ejecución ingresos 2010'!#REF!</definedName>
    <definedName name="EPPC" localSheetId="10">'[15]Anexo 1 Minagricultura'!$C$54</definedName>
    <definedName name="EPPC" localSheetId="11">'[15]Anexo 1 Minagricultura'!$C$54</definedName>
    <definedName name="EPPC" localSheetId="14">'[15]Anexo 1 Minagricultura'!$C$54</definedName>
    <definedName name="EPPC" localSheetId="7">#REF!</definedName>
    <definedName name="EPPC" localSheetId="5">'[10]INGRESOS 2011'!#REF!</definedName>
    <definedName name="EPPC">'INGRESOS'!$C$54</definedName>
    <definedName name="FDGFDG" localSheetId="10">#REF!</definedName>
    <definedName name="FDGFDG" localSheetId="11">#REF!</definedName>
    <definedName name="FDGFDG" localSheetId="14">#REF!</definedName>
    <definedName name="FDGFDG" localSheetId="7">#REF!</definedName>
    <definedName name="FDGFDG" localSheetId="5">'[10]INGRESOS 2011'!$C$43</definedName>
    <definedName name="FDGFDG">#REF!</definedName>
    <definedName name="FOMENTO" localSheetId="10">'[15]Anexo 1 Minagricultura'!$C$53</definedName>
    <definedName name="FOMENTO" localSheetId="11">'[15]Anexo 1 Minagricultura'!$C$53</definedName>
    <definedName name="FOMENTO" localSheetId="14">'[15]Anexo 1 Minagricultura'!$C$53</definedName>
    <definedName name="FOMENTO" localSheetId="7">#REF!</definedName>
    <definedName name="FOMENTO" localSheetId="5">'[10]INGRESOS 2011'!#REF!</definedName>
    <definedName name="FOMENTO">'INGRESOS'!$C$53</definedName>
    <definedName name="FOMENTOS" localSheetId="10">'[18]Anexo 1 Minagricultura'!$C$51</definedName>
    <definedName name="FOMENTOS" localSheetId="11">'[18]Anexo 1 Minagricultura'!$C$51</definedName>
    <definedName name="FOMENTOS" localSheetId="14">'[18]Anexo 1 Minagricultura'!$C$51</definedName>
    <definedName name="FOMENTOS" localSheetId="5">'[12]Anexo 1 Minagricultura'!$C$51</definedName>
    <definedName name="FOMENTOS">'[3]Anexo 1 Minagricultura'!$C$51</definedName>
    <definedName name="fondo" localSheetId="7">#REF!</definedName>
    <definedName name="fondo">'Ejecución ingresos 2010'!$C$15</definedName>
    <definedName name="GTOSEPPC" localSheetId="10">'[15]Inversión total en programas'!$C$35</definedName>
    <definedName name="GTOSEPPC" localSheetId="11">'[15]Inversión total en programas'!$C$35</definedName>
    <definedName name="GTOSEPPC" localSheetId="14">'[15]Inversión total en programas'!$C$35</definedName>
    <definedName name="GTOSEPPC" localSheetId="7">'[7]Inversión total en programas'!$C$35</definedName>
    <definedName name="GTOSEPPC">'Inversión total en programas'!$C$35</definedName>
    <definedName name="HONORAUDI_JURIDIC">#REF!</definedName>
    <definedName name="HONTOTAL">#REF!</definedName>
    <definedName name="ojo" localSheetId="7">#REF!</definedName>
    <definedName name="ojo">'Ejecución ingresos 2010'!$C$15</definedName>
    <definedName name="ppc">'[16]Inversión total en programas'!$B$86</definedName>
    <definedName name="RESERV_FUTU">#REF!</definedName>
    <definedName name="saldo" localSheetId="10">'[15]Superávit 2008'!#REF!</definedName>
    <definedName name="saldo" localSheetId="11">'[15]Superávit 2008'!#REF!</definedName>
    <definedName name="saldo" localSheetId="14">'[15]Superávit 2008'!#REF!</definedName>
    <definedName name="saldo" localSheetId="7">#REF!</definedName>
    <definedName name="saldo" localSheetId="5">'[11]Superávit 2007'!#REF!</definedName>
    <definedName name="saldo">'Ejecución ingresos 2010'!#REF!</definedName>
    <definedName name="saldos" localSheetId="10">'[15]Superávit 2008'!#REF!</definedName>
    <definedName name="saldos" localSheetId="11">'[15]Superávit 2008'!#REF!</definedName>
    <definedName name="saldos" localSheetId="14">'[15]Superávit 2008'!#REF!</definedName>
    <definedName name="saldos" localSheetId="7">#REF!</definedName>
    <definedName name="saldos" localSheetId="5">'[11]Superávit 2007'!#REF!</definedName>
    <definedName name="saldos">'Ejecución ingresos 2010'!#REF!</definedName>
    <definedName name="SUPERA2004" localSheetId="10">'[15]Anexo 1 Minagricultura'!$B$21</definedName>
    <definedName name="SUPERA2004" localSheetId="11">'[15]Anexo 1 Minagricultura'!$B$21</definedName>
    <definedName name="SUPERA2004" localSheetId="14">'[15]Anexo 1 Minagricultura'!$B$21</definedName>
    <definedName name="SUPERA2004" localSheetId="7">#REF!</definedName>
    <definedName name="SUPERA2004">'INGRESOS'!$B$21</definedName>
    <definedName name="SUPERA2005" localSheetId="10">'[15]Anexo 1 Minagricultura'!$C$21</definedName>
    <definedName name="SUPERA2005" localSheetId="11">'[15]Anexo 1 Minagricultura'!$C$21</definedName>
    <definedName name="SUPERA2005" localSheetId="14">'[15]Anexo 1 Minagricultura'!$C$21</definedName>
    <definedName name="SUPERA2005" localSheetId="7">#REF!</definedName>
    <definedName name="SUPERA2005" localSheetId="5">'[10]INGRESOS 2011'!#REF!</definedName>
    <definedName name="SUPERA2005">'INGRESOS'!$C$21</definedName>
    <definedName name="SUPERA2010">'[16]Anexo 1 Minagricultura'!$C$21</definedName>
    <definedName name="SUPERAVIT">#REF!</definedName>
    <definedName name="SUPERAVIT2005_FNP">#REF!</definedName>
    <definedName name="SUPERAVITPPC_2005">#REF!</definedName>
    <definedName name="_xlnm.Print_Titles" localSheetId="7">'Ejecución gastos 2010'!$1:$6</definedName>
    <definedName name="_xlnm.Print_Titles" localSheetId="12">'Funcionamiento'!$A:$A</definedName>
    <definedName name="_xlnm.Print_Titles" localSheetId="9">'GASTOS'!$1:$6</definedName>
    <definedName name="_xlnm.Print_Titles" localSheetId="0">'INGRESOS'!$1:$5</definedName>
    <definedName name="_xlnm.Print_Titles" localSheetId="15">'Inversión total en programas'!$1:$5</definedName>
    <definedName name="_xlnm.Print_Titles" localSheetId="13">'Nómina y honorarios 2011'!$A:$A</definedName>
    <definedName name="VTAS2005" localSheetId="10">'[15]Anexo 1 Minagricultura'!$D$32</definedName>
    <definedName name="VTAS2005" localSheetId="11">'[15]Anexo 1 Minagricultura'!$D$32</definedName>
    <definedName name="VTAS2005" localSheetId="14">'[15]Anexo 1 Minagricultura'!$D$32</definedName>
    <definedName name="VTAS2005" localSheetId="7">#REF!</definedName>
    <definedName name="VTAS2005" localSheetId="5">'[10]INGRESOS 2011'!#REF!</definedName>
    <definedName name="VTAS2005">'INGRESOS'!$D$32</definedName>
    <definedName name="xx" localSheetId="10">'[6]Ingresos'!$C$19</definedName>
    <definedName name="xx" localSheetId="11">'[6]Ingresos'!$C$19</definedName>
    <definedName name="xx" localSheetId="14">'[6]Ingresos'!$C$19</definedName>
    <definedName name="xx" localSheetId="5">'[6]Ingresos'!$C$19</definedName>
    <definedName name="xx">'[4]Ingresos'!$C$19</definedName>
    <definedName name="Z_4099E833_BB74_4680_85C9_A6CF399D1CE2_.wvu.Cols" localSheetId="10" hidden="1">'[15]Nómina 2004'!$C:$E,'[15]Nómina 2004'!$H:$I,'[15]Nómina 2004'!$L:$P,'[15]Nómina 2004'!$AF:$AH</definedName>
    <definedName name="Z_4099E833_BB74_4680_85C9_A6CF399D1CE2_.wvu.Cols" localSheetId="11" hidden="1">'[15]Nómina 2004'!$C:$E,'[15]Nómina 2004'!$H:$I,'[15]Nómina 2004'!$L:$P,'[15]Nómina 2004'!$AF:$AH</definedName>
    <definedName name="Z_4099E833_BB74_4680_85C9_A6CF399D1CE2_.wvu.Cols" localSheetId="14" hidden="1">'[15]Nómina 2004'!$C:$E,'[15]Nómina 2004'!$H:$I,'[15]Nómina 2004'!$L:$P,'[15]Nómina 2004'!$AF:$AH</definedName>
    <definedName name="Z_4099E833_BB74_4680_85C9_A6CF399D1CE2_.wvu.Cols" localSheetId="7" hidden="1">'[9]Nómina 2004'!$C:$E,'[9]Nómina 2004'!$H:$I,'[9]Nómina 2004'!$L:$P,'[9]Nómina 2004'!$AF:$AH</definedName>
    <definedName name="Z_4099E833_BB74_4680_85C9_A6CF399D1CE2_.wvu.Cols" localSheetId="5" hidden="1">'[11]Nómina 2004'!$C:$E,'[11]Nómina 2004'!$H:$I,'[11]Nómina 2004'!$L:$P,'[11]Nómina 2004'!$AF:$AH</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0" hidden="1">'INGRESOS'!$A$1:$D$39</definedName>
    <definedName name="Z_4099E833_BB74_4680_85C9_A6CF399D1CE2_.wvu.PrintArea" localSheetId="15" hidden="1">'Inversión total en programas'!$A$6:$D$106</definedName>
    <definedName name="Z_4099E833_BB74_4680_85C9_A6CF399D1CE2_.wvu.PrintArea" localSheetId="2" hidden="1">'Presupuesto general'!$A$1:$F$63</definedName>
    <definedName name="Z_4099E833_BB74_4680_85C9_A6CF399D1CE2_.wvu.PrintTitles" hidden="1">'Inversión total en programas'!$1:$5</definedName>
    <definedName name="Z_4099E833_BB74_4680_85C9_A6CF399D1CE2_.wvu.Rows" localSheetId="10" hidden="1">'[15]Inversión total en programas'!$50:$50,'[15]Inversión total en programas'!$60:$63</definedName>
    <definedName name="Z_4099E833_BB74_4680_85C9_A6CF399D1CE2_.wvu.Rows" localSheetId="11" hidden="1">'[15]Inversión total en programas'!$50:$50,'[15]Inversión total en programas'!$60:$63</definedName>
    <definedName name="Z_4099E833_BB74_4680_85C9_A6CF399D1CE2_.wvu.Rows" localSheetId="14" hidden="1">'[15]Inversión total en programas'!$50:$50,'[15]Inversión total en programas'!$60:$63</definedName>
    <definedName name="Z_4099E833_BB74_4680_85C9_A6CF399D1CE2_.wvu.Rows" localSheetId="7" hidden="1">'[9]Inversión total en programas'!$50:$50,'[9]Inversión total en programas'!$60:$63</definedName>
    <definedName name="Z_4099E833_BB74_4680_85C9_A6CF399D1CE2_.wvu.Rows" localSheetId="5" hidden="1">'[11]Inversión total en programas'!$50:$50,'[11]Inversión total en programas'!$60:$63</definedName>
    <definedName name="Z_4099E833_BB74_4680_85C9_A6CF399D1CE2_.wvu.Rows" hidden="1">'Inversión total en programas'!$50:$50,'Inversión total en programas'!$60:$63</definedName>
  </definedNames>
  <calcPr fullCalcOnLoad="1"/>
</workbook>
</file>

<file path=xl/comments1.xml><?xml version="1.0" encoding="utf-8"?>
<comments xmlns="http://schemas.openxmlformats.org/spreadsheetml/2006/main">
  <authors>
    <author>martinezp</author>
  </authors>
  <commentList>
    <comment ref="C39" authorId="0">
      <text>
        <r>
          <rPr>
            <b/>
            <sz val="8"/>
            <rFont val="Tahoma"/>
            <family val="0"/>
          </rPr>
          <t>INGRESOS ACUERDO 10/10</t>
        </r>
        <r>
          <rPr>
            <sz val="8"/>
            <rFont val="Tahoma"/>
            <family val="0"/>
          </rPr>
          <t xml:space="preserve">
</t>
        </r>
      </text>
    </comment>
  </commentList>
</comments>
</file>

<file path=xl/comments11.xml><?xml version="1.0" encoding="utf-8"?>
<comments xmlns="http://schemas.openxmlformats.org/spreadsheetml/2006/main">
  <authors>
    <author>PatriciaMart?nez</author>
  </authors>
  <commentList>
    <comment ref="D25" authorId="0">
      <text>
        <r>
          <rPr>
            <sz val="10"/>
            <rFont val="Times New Roman"/>
            <family val="1"/>
          </rPr>
          <t>3era parte director y asistente admon</t>
        </r>
        <r>
          <rPr>
            <sz val="8"/>
            <rFont val="Tahoma"/>
            <family val="2"/>
          </rPr>
          <t xml:space="preserve">
</t>
        </r>
      </text>
    </comment>
    <comment ref="D26" authorId="0">
      <text>
        <r>
          <rPr>
            <sz val="10"/>
            <rFont val="Tahoma"/>
            <family val="2"/>
          </rPr>
          <t>total jefe de canales de comercialización</t>
        </r>
        <r>
          <rPr>
            <sz val="8"/>
            <rFont val="Tahoma"/>
            <family val="2"/>
          </rPr>
          <t xml:space="preserve">
</t>
        </r>
      </text>
    </comment>
    <comment ref="D27" authorId="0">
      <text>
        <r>
          <rPr>
            <sz val="10"/>
            <rFont val="Tahoma"/>
            <family val="2"/>
          </rPr>
          <t>total coordinador de publicidad</t>
        </r>
        <r>
          <rPr>
            <sz val="8"/>
            <rFont val="Tahoma"/>
            <family val="2"/>
          </rPr>
          <t xml:space="preserve">
</t>
        </r>
      </text>
    </comment>
    <comment ref="D28" authorId="0">
      <text>
        <r>
          <rPr>
            <sz val="10"/>
            <rFont val="Times New Roman"/>
            <family val="1"/>
          </rPr>
          <t>3era parte director y asistente admon</t>
        </r>
        <r>
          <rPr>
            <sz val="8"/>
            <rFont val="Tahoma"/>
            <family val="2"/>
          </rPr>
          <t xml:space="preserve">
</t>
        </r>
      </text>
    </comment>
    <comment ref="D29" authorId="0">
      <text>
        <r>
          <rPr>
            <sz val="10"/>
            <rFont val="Times New Roman"/>
            <family val="1"/>
          </rPr>
          <t>3era parte director y asistente admon</t>
        </r>
        <r>
          <rPr>
            <sz val="8"/>
            <rFont val="Tahoma"/>
            <family val="2"/>
          </rPr>
          <t xml:space="preserve">
</t>
        </r>
      </text>
    </comment>
    <comment ref="D30" authorId="0">
      <text>
        <r>
          <rPr>
            <sz val="10"/>
            <rFont val="Tahoma"/>
            <family val="2"/>
          </rPr>
          <t>total jefe de calidad e innovación</t>
        </r>
        <r>
          <rPr>
            <sz val="8"/>
            <rFont val="Tahoma"/>
            <family val="2"/>
          </rPr>
          <t xml:space="preserve">
</t>
        </r>
      </text>
    </comment>
    <comment ref="D47" authorId="0">
      <text>
        <r>
          <rPr>
            <sz val="10"/>
            <rFont val="Tahoma"/>
            <family val="2"/>
          </rPr>
          <t>4ta parte asistente admon y director</t>
        </r>
        <r>
          <rPr>
            <sz val="8"/>
            <rFont val="Tahoma"/>
            <family val="2"/>
          </rPr>
          <t xml:space="preserve">
</t>
        </r>
      </text>
    </comment>
    <comment ref="D48" authorId="0">
      <text>
        <r>
          <rPr>
            <sz val="10"/>
            <rFont val="Tahoma"/>
            <family val="2"/>
          </rPr>
          <t>4ta parte asistente admon y director,  total coordinador sanidad</t>
        </r>
        <r>
          <rPr>
            <sz val="8"/>
            <rFont val="Tahoma"/>
            <family val="2"/>
          </rPr>
          <t xml:space="preserve">
</t>
        </r>
      </text>
    </comment>
    <comment ref="D49" authorId="0">
      <text>
        <r>
          <rPr>
            <sz val="10"/>
            <rFont val="Tahoma"/>
            <family val="2"/>
          </rPr>
          <t>4ta parte asistente admon y director</t>
        </r>
        <r>
          <rPr>
            <sz val="8"/>
            <rFont val="Tahoma"/>
            <family val="2"/>
          </rPr>
          <t xml:space="preserve">
</t>
        </r>
      </text>
    </comment>
    <comment ref="D50" authorId="0">
      <text>
        <r>
          <rPr>
            <sz val="10"/>
            <rFont val="Tahoma"/>
            <family val="2"/>
          </rPr>
          <t>4ta parte asistente admon  y director,  total jefe ambiental</t>
        </r>
        <r>
          <rPr>
            <sz val="8"/>
            <rFont val="Tahoma"/>
            <family val="2"/>
          </rPr>
          <t xml:space="preserve">
</t>
        </r>
      </text>
    </comment>
    <comment ref="D63" authorId="0">
      <text>
        <r>
          <rPr>
            <sz val="10"/>
            <rFont val="Tahoma"/>
            <family val="2"/>
          </rPr>
          <t>TOTAL COORDINADORES, SUBCOORDINADORES, MITAD JEFE CONTROL REGIONAL Y 5TA PARTE DÉMAS CARGOS</t>
        </r>
        <r>
          <rPr>
            <sz val="8"/>
            <rFont val="Tahoma"/>
            <family val="2"/>
          </rPr>
          <t xml:space="preserve">
</t>
        </r>
      </text>
    </comment>
    <comment ref="D64" authorId="0">
      <text>
        <r>
          <rPr>
            <sz val="10"/>
            <rFont val="Tahoma"/>
            <family val="2"/>
          </rPr>
          <t>5TA PARTE DÉMAS CARGOS</t>
        </r>
        <r>
          <rPr>
            <sz val="8"/>
            <rFont val="Tahoma"/>
            <family val="2"/>
          </rPr>
          <t xml:space="preserve">
</t>
        </r>
      </text>
    </comment>
    <comment ref="D65" authorId="0">
      <text>
        <r>
          <rPr>
            <sz val="10"/>
            <rFont val="Tahoma"/>
            <family val="2"/>
          </rPr>
          <t>TOTAL BACTERIOLOGA Y 5TA PARTE DEMÁS CARGOS</t>
        </r>
        <r>
          <rPr>
            <sz val="8"/>
            <rFont val="Tahoma"/>
            <family val="2"/>
          </rPr>
          <t xml:space="preserve">
</t>
        </r>
      </text>
    </comment>
    <comment ref="D66" authorId="0">
      <text>
        <r>
          <rPr>
            <sz val="10"/>
            <rFont val="Tahoma"/>
            <family val="2"/>
          </rPr>
          <t>5TA PARTE DEMÁS CARGOS</t>
        </r>
        <r>
          <rPr>
            <sz val="8"/>
            <rFont val="Tahoma"/>
            <family val="2"/>
          </rPr>
          <t xml:space="preserve">
</t>
        </r>
      </text>
    </comment>
    <comment ref="D67" authorId="0">
      <text>
        <r>
          <rPr>
            <sz val="10"/>
            <rFont val="Tahoma"/>
            <family val="2"/>
          </rPr>
          <t>5TA PARTE DEMÁS CARGOS Y MITAD JEFE REGIONAL</t>
        </r>
        <r>
          <rPr>
            <sz val="8"/>
            <rFont val="Tahoma"/>
            <family val="2"/>
          </rPr>
          <t xml:space="preserve">
</t>
        </r>
      </text>
    </comment>
    <comment ref="D68" authorId="0">
      <text>
        <r>
          <rPr>
            <sz val="8"/>
            <rFont val="Tahoma"/>
            <family val="2"/>
          </rPr>
          <t xml:space="preserve">GASTOS GENERALES, MÁS HONORARIOS Y DOTACIÓN
</t>
        </r>
      </text>
    </comment>
    <comment ref="D10" authorId="0">
      <text>
        <r>
          <rPr>
            <sz val="11"/>
            <rFont val="Tahoma"/>
            <family val="2"/>
          </rPr>
          <t xml:space="preserve">total coordinador financiero y empresarial y todo el personal IAT 1 y 2, 4ta parte director y profesional G1
</t>
        </r>
        <r>
          <rPr>
            <sz val="8"/>
            <rFont val="Tahoma"/>
            <family val="2"/>
          </rPr>
          <t xml:space="preserve">
</t>
        </r>
      </text>
    </comment>
    <comment ref="D11" authorId="0">
      <text>
        <r>
          <rPr>
            <sz val="11"/>
            <rFont val="Tahoma"/>
            <family val="2"/>
          </rPr>
          <t>4ta parte de director y profesional G1</t>
        </r>
        <r>
          <rPr>
            <sz val="8"/>
            <rFont val="Tahoma"/>
            <family val="2"/>
          </rPr>
          <t xml:space="preserve">
</t>
        </r>
      </text>
    </comment>
    <comment ref="D12" authorId="0">
      <text>
        <r>
          <rPr>
            <sz val="11"/>
            <rFont val="Tahoma"/>
            <family val="2"/>
          </rPr>
          <t>total coordinador de información y 4ta parte de director y profesional G1</t>
        </r>
        <r>
          <rPr>
            <sz val="8"/>
            <rFont val="Tahoma"/>
            <family val="2"/>
          </rPr>
          <t xml:space="preserve">
</t>
        </r>
      </text>
    </comment>
    <comment ref="D13" authorId="0">
      <text>
        <r>
          <rPr>
            <sz val="11"/>
            <rFont val="Tahoma"/>
            <family val="2"/>
          </rPr>
          <t>total jefe de recaudo, coordinadores de recaudo y 4ta parte del director y profesional G2</t>
        </r>
        <r>
          <rPr>
            <sz val="8"/>
            <rFont val="Tahoma"/>
            <family val="2"/>
          </rPr>
          <t xml:space="preserve">
</t>
        </r>
      </text>
    </comment>
  </commentList>
</comments>
</file>

<file path=xl/comments12.xml><?xml version="1.0" encoding="utf-8"?>
<comments xmlns="http://schemas.openxmlformats.org/spreadsheetml/2006/main">
  <authors>
    <author>martinezp</author>
  </authors>
  <commentList>
    <comment ref="M7" authorId="0">
      <text>
        <r>
          <rPr>
            <sz val="8"/>
            <rFont val="Tahoma"/>
            <family val="2"/>
          </rPr>
          <t xml:space="preserve">Participación por Departamento a 31 de diciembre de 2009
</t>
        </r>
      </text>
    </comment>
  </commentList>
</comments>
</file>

<file path=xl/comments13.xml><?xml version="1.0" encoding="utf-8"?>
<comments xmlns="http://schemas.openxmlformats.org/spreadsheetml/2006/main">
  <authors>
    <author>Fondo Nal. de la Porcicultura</author>
    <author>martinezp</author>
  </authors>
  <commentList>
    <comment ref="O8" authorId="0">
      <text>
        <r>
          <rPr>
            <sz val="8"/>
            <rFont val="Tahoma"/>
            <family val="2"/>
          </rPr>
          <t>$17,600,000 son del área aconómica</t>
        </r>
      </text>
    </comment>
    <comment ref="O20" authorId="0">
      <text>
        <r>
          <rPr>
            <sz val="8"/>
            <rFont val="Tahoma"/>
            <family val="2"/>
          </rPr>
          <t>ECONÓMICA $42,800,000
MERCADEO $15,600,000</t>
        </r>
        <r>
          <rPr>
            <sz val="8"/>
            <rFont val="Tahoma"/>
            <family val="2"/>
          </rPr>
          <t xml:space="preserve">
PPC $110,000,000
FUNCIONAMIENTO $11,000,000</t>
        </r>
      </text>
    </comment>
    <comment ref="O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O24" authorId="0">
      <text>
        <r>
          <rPr>
            <sz val="8"/>
            <rFont val="Tahoma"/>
            <family val="2"/>
          </rPr>
          <t xml:space="preserve">ECONÓMICA $28,000,000
MERCADEO $8,000,000
PPC $28,000,000
FUNCIONAMIENTO $20,000,000
</t>
        </r>
      </text>
    </comment>
    <comment ref="O32" authorId="0">
      <text>
        <r>
          <rPr>
            <sz val="8"/>
            <rFont val="Tahoma"/>
            <family val="2"/>
          </rPr>
          <t xml:space="preserve">FUNCIONAMIENTO $48,000,000
PPC $45,000,000
</t>
        </r>
      </text>
    </comment>
    <comment ref="G28" authorId="1">
      <text>
        <r>
          <rPr>
            <sz val="8"/>
            <rFont val="Tahoma"/>
            <family val="2"/>
          </rPr>
          <t>valor de venta de chapetas y tenazas x el 9.66/1000, más gstos legales y poliza de transporte chapetas global</t>
        </r>
        <r>
          <rPr>
            <sz val="8"/>
            <rFont val="Tahoma"/>
            <family val="2"/>
          </rPr>
          <t xml:space="preserve">
</t>
        </r>
      </text>
    </comment>
    <comment ref="G32" authorId="1">
      <text>
        <r>
          <rPr>
            <sz val="8"/>
            <rFont val="Tahoma"/>
            <family val="2"/>
          </rPr>
          <t xml:space="preserve">$2.083.333 promedio de comisiones enero-agosto 2010
</t>
        </r>
      </text>
    </comment>
  </commentList>
</comments>
</file>

<file path=xl/comments16.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comments7.xml><?xml version="1.0" encoding="utf-8"?>
<comments xmlns="http://schemas.openxmlformats.org/spreadsheetml/2006/main">
  <authors>
    <author>martinezp</author>
  </authors>
  <commentList>
    <comment ref="C7" authorId="0">
      <text>
        <r>
          <rPr>
            <b/>
            <sz val="8"/>
            <rFont val="Tahoma"/>
            <family val="2"/>
          </rPr>
          <t>MODIFICADO HASTA EL ACUERDO 10 DEL 29 DE SEPTIEMBRE DE 2010</t>
        </r>
        <r>
          <rPr>
            <sz val="8"/>
            <rFont val="Tahoma"/>
            <family val="2"/>
          </rPr>
          <t xml:space="preserve">
</t>
        </r>
      </text>
    </comment>
  </commentList>
</comments>
</file>

<file path=xl/sharedStrings.xml><?xml version="1.0" encoding="utf-8"?>
<sst xmlns="http://schemas.openxmlformats.org/spreadsheetml/2006/main" count="1760" uniqueCount="862">
  <si>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</si>
  <si>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</si>
  <si>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</si>
  <si>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</si>
  <si>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</si>
  <si>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</si>
  <si>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</si>
  <si>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</si>
  <si>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</si>
  <si>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</si>
  <si>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</si>
  <si>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</si>
  <si>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</si>
  <si>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</si>
  <si>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</si>
  <si>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</si>
  <si>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</si>
  <si>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</si>
  <si>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</si>
  <si>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</si>
  <si>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</si>
  <si>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</si>
  <si>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</si>
  <si>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</si>
  <si>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No de tenazas</t>
  </si>
  <si>
    <t>JEFE DE CONTROL REGIONAL</t>
  </si>
  <si>
    <t>ECONÓMICA</t>
  </si>
  <si>
    <t>MERCADEO</t>
  </si>
  <si>
    <t>TÉCNICA</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</si>
  <si>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</si>
  <si>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</si>
  <si>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</si>
  <si>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</si>
  <si>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</si>
  <si>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</si>
  <si>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</si>
  <si>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</si>
  <si>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</si>
  <si>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</si>
  <si>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</si>
  <si>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</si>
  <si>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</si>
  <si>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</si>
  <si>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</si>
  <si>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</si>
  <si>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</si>
  <si>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</si>
  <si>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</si>
  <si>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</si>
  <si>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</si>
  <si>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</si>
  <si>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</si>
  <si>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</si>
  <si>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</si>
  <si>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</si>
  <si>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</si>
  <si>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</si>
  <si>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</si>
  <si>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</si>
  <si>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</si>
  <si>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</si>
  <si>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</si>
  <si>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</si>
  <si>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</si>
  <si>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</si>
  <si>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</si>
  <si>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</si>
  <si>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</si>
  <si>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</si>
  <si>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</si>
  <si>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</si>
  <si>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</si>
  <si>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</si>
  <si>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</si>
  <si>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</si>
  <si>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</si>
  <si>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</si>
  <si>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</si>
  <si>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</si>
  <si>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</si>
  <si>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</si>
  <si>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</si>
  <si>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</si>
  <si>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</si>
  <si>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</si>
  <si>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</si>
  <si>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</si>
  <si>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</si>
  <si>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</si>
  <si>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</si>
  <si>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</si>
  <si>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</si>
  <si>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</si>
  <si>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</si>
  <si>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</si>
  <si>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</si>
  <si>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</si>
  <si>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</si>
  <si>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</si>
  <si>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</si>
  <si>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</si>
  <si>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</si>
  <si>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</si>
  <si>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</si>
  <si>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</si>
  <si>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</si>
  <si>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</si>
  <si>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</si>
  <si>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</si>
  <si>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</si>
  <si>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</si>
  <si>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</si>
  <si>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</si>
  <si>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</si>
  <si>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</si>
  <si>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</si>
  <si>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</si>
  <si>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</si>
  <si>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</si>
  <si>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</si>
  <si>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</si>
  <si>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</si>
  <si>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</si>
  <si>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</si>
  <si>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</si>
  <si>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</si>
  <si>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</si>
  <si>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</si>
  <si>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</si>
  <si>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</si>
  <si>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</si>
  <si>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</si>
  <si>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</si>
  <si>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</si>
  <si>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</si>
  <si>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</si>
  <si>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</si>
  <si>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</si>
  <si>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</si>
  <si>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</si>
  <si>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</si>
  <si>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</si>
  <si>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</si>
  <si>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</si>
  <si>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</si>
  <si>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</si>
  <si>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</si>
  <si>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</si>
  <si>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</si>
  <si>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</si>
  <si>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</si>
  <si>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</si>
  <si>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</si>
  <si>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</si>
  <si>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</si>
  <si>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</si>
  <si>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</si>
  <si>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</si>
  <si>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CUOTA VIGENCIAS ANTERIORES</t>
  </si>
  <si>
    <t>Repuestos</t>
  </si>
  <si>
    <t>Aseo y cafetería</t>
  </si>
  <si>
    <t>Fotocopias</t>
  </si>
  <si>
    <t>Papelería</t>
  </si>
  <si>
    <t>Canon laser</t>
  </si>
  <si>
    <t>Teléfonos</t>
  </si>
  <si>
    <t>Celular</t>
  </si>
  <si>
    <t>Energía</t>
  </si>
  <si>
    <t>Acueducto</t>
  </si>
  <si>
    <t>Bodega</t>
  </si>
  <si>
    <t>Viajes</t>
  </si>
  <si>
    <t>Transporte Caja M.</t>
  </si>
  <si>
    <t>Acarreos</t>
  </si>
  <si>
    <t>Seguros</t>
  </si>
  <si>
    <t>Gastos Legales</t>
  </si>
  <si>
    <t>Pasajes</t>
  </si>
  <si>
    <t>Gastos</t>
  </si>
  <si>
    <t>TOTAL GASTOS GENERALES</t>
  </si>
  <si>
    <t>FNP</t>
  </si>
  <si>
    <t>Rendimientos Financieros FNP</t>
  </si>
  <si>
    <t>Rendimientos Financieros PPC</t>
  </si>
  <si>
    <t>Extraordinarios FNP</t>
  </si>
  <si>
    <t>Financieros FNP</t>
  </si>
  <si>
    <t>Financieros PPC</t>
  </si>
  <si>
    <t>EJECUCIÓN INGRESOS</t>
  </si>
  <si>
    <t>LABORATORIO VECOL</t>
  </si>
  <si>
    <t>UNITARIOS</t>
  </si>
  <si>
    <t xml:space="preserve"> COMPRAS</t>
  </si>
  <si>
    <t xml:space="preserve">
VENTAS</t>
  </si>
  <si>
    <t>UTILIDAD</t>
  </si>
  <si>
    <t>% POR PRESENTACION</t>
  </si>
  <si>
    <t>% RENTABILIDAD</t>
  </si>
  <si>
    <t>TOTAL UNIDADES</t>
  </si>
  <si>
    <t>TOTAL COSTO</t>
  </si>
  <si>
    <t>TOTAL UTILIDAD</t>
  </si>
  <si>
    <t>PRESENTACION</t>
  </si>
  <si>
    <t>PRECIO DE
COMPRA</t>
  </si>
  <si>
    <t>PRECIO DE
VENTA</t>
  </si>
  <si>
    <t>UTILIDAD
 NETA</t>
  </si>
  <si>
    <t>DOSIS DE 10</t>
  </si>
  <si>
    <t>DOSIS DE 25</t>
  </si>
  <si>
    <t>DOSIS DE 50</t>
  </si>
  <si>
    <t>Subtotal Vecol</t>
  </si>
  <si>
    <t>PROYECTADO COMPRAS</t>
  </si>
  <si>
    <t>PROYECTADO VENTAS</t>
  </si>
  <si>
    <t>UTILILIDAD</t>
  </si>
  <si>
    <t>CHAPETAS</t>
  </si>
  <si>
    <t>DESCRIPCION</t>
  </si>
  <si>
    <t>Costo compras</t>
  </si>
  <si>
    <t>Utilidad</t>
  </si>
  <si>
    <t>No bulones para la venta</t>
  </si>
  <si>
    <t xml:space="preserve">Precio de venta </t>
  </si>
  <si>
    <t>Ingresos por venta de bulones</t>
  </si>
  <si>
    <t xml:space="preserve">     Publicidad</t>
  </si>
  <si>
    <t xml:space="preserve">     Compra de materiales y dotaciones</t>
  </si>
  <si>
    <t>Venta de publicaciones y videos de capacitación</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</si>
  <si>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</si>
  <si>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</si>
  <si>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</si>
  <si>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</si>
  <si>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</si>
  <si>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</si>
  <si>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</si>
  <si>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CONTRATACIÓN LABORAL</t>
  </si>
  <si>
    <t xml:space="preserve">SEGUROS Y/O FONDOS PRIVADOS </t>
  </si>
  <si>
    <t>SEGUROS Y/O FONDOS PRIVADOS ANUAL</t>
  </si>
  <si>
    <t>ICBF Y SENA ANUAL</t>
  </si>
  <si>
    <t>No.</t>
  </si>
  <si>
    <t>SALARIO BASE</t>
  </si>
  <si>
    <t xml:space="preserve">SUBSIDIO DE TRANSPORTE </t>
  </si>
  <si>
    <t>VALOR TOTAL A DEVENGAR MENSUAL</t>
  </si>
  <si>
    <t>SUELDO ANUAL</t>
  </si>
  <si>
    <t>INT./CES. ANUALES (12%)</t>
  </si>
  <si>
    <t>PRIMA LEGAL ANUAL</t>
  </si>
  <si>
    <t>VAC. ANUALES</t>
  </si>
  <si>
    <t>RIESGOS PROFESIONALES 0,522%</t>
  </si>
  <si>
    <t>ICBF 3%</t>
  </si>
  <si>
    <t>SENA 2%</t>
  </si>
  <si>
    <t>ÁREA DE FUNCIONAMIENTO</t>
  </si>
  <si>
    <t>TESORERÍA</t>
  </si>
  <si>
    <t>ÁREA PPC</t>
  </si>
  <si>
    <t>VALOR TOTAL DE LA NÓMINA</t>
  </si>
  <si>
    <t>PERSONAS</t>
  </si>
  <si>
    <t>CANTIDAD DOTACIONES/AÑO</t>
  </si>
  <si>
    <t>Fortalecimiento al recaudo</t>
  </si>
  <si>
    <t>AUDITORIA</t>
  </si>
  <si>
    <t>SALARIO INTEGRAL</t>
  </si>
  <si>
    <t>RESERVA</t>
  </si>
  <si>
    <t>VALOR MENSUAL</t>
  </si>
  <si>
    <t>RENDIMIENTOS FINANCIEROS</t>
  </si>
  <si>
    <t>Diagnóstico rutinario</t>
  </si>
  <si>
    <t>DIRECTOR</t>
  </si>
  <si>
    <t>PRODUCTIVIDAD EMPRESA</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</si>
  <si>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</si>
  <si>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</si>
  <si>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</si>
  <si>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</si>
  <si>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</si>
  <si>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</si>
  <si>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</si>
  <si>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</si>
  <si>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</si>
  <si>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</si>
  <si>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</si>
  <si>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</si>
  <si>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</si>
  <si>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INICIAL</t>
  </si>
  <si>
    <t>INGRESOS OPERACIONALES</t>
  </si>
  <si>
    <t>Cuota de Fomento</t>
  </si>
  <si>
    <t>Cuota de Erradicación Peste Porcina Clásica</t>
  </si>
  <si>
    <t>Superavit Vigencias Anteriores</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</si>
  <si>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</si>
  <si>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</si>
  <si>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</si>
  <si>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</si>
  <si>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</si>
  <si>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</si>
  <si>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</si>
  <si>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</si>
  <si>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</si>
  <si>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</si>
  <si>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</si>
  <si>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</si>
  <si>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</si>
  <si>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</si>
  <si>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</si>
  <si>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</si>
  <si>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</si>
  <si>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</si>
  <si>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</si>
  <si>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</si>
  <si>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TOTAL S.M.M.L.V MAS INCREMENTO</t>
  </si>
  <si>
    <t>TOTAL CUOTA</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</si>
  <si>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</si>
  <si>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</si>
  <si>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</si>
  <si>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</si>
  <si>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</si>
  <si>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</si>
  <si>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</si>
  <si>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</si>
  <si>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</si>
  <si>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</si>
  <si>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</si>
  <si>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</si>
  <si>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</si>
  <si>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</si>
  <si>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</si>
  <si>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</si>
  <si>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</si>
  <si>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</si>
  <si>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</si>
  <si>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</si>
  <si>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</si>
  <si>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</si>
  <si>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</si>
  <si>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</si>
  <si>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</si>
  <si>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</si>
  <si>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</si>
  <si>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</si>
  <si>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</si>
  <si>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</si>
  <si>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</si>
  <si>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</si>
  <si>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</si>
  <si>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</si>
  <si>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</si>
  <si>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</si>
  <si>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</si>
  <si>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</si>
  <si>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MODIFICADO</t>
  </si>
  <si>
    <t>Incremento presupuestado</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</si>
  <si>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</si>
  <si>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</si>
  <si>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</si>
  <si>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</si>
  <si>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</si>
  <si>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</si>
  <si>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</si>
  <si>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</si>
  <si>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</si>
  <si>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</si>
  <si>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</si>
  <si>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</si>
  <si>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</si>
  <si>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</si>
  <si>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</si>
  <si>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</si>
  <si>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</si>
  <si>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TENAZAS</t>
  </si>
  <si>
    <t>BULONES</t>
  </si>
  <si>
    <t>INGRESOS PRESUPUESTADOS</t>
  </si>
  <si>
    <t>Comunicaciones</t>
  </si>
  <si>
    <t>Conceptualización gráfica</t>
  </si>
  <si>
    <t>COMPARATIVO</t>
  </si>
  <si>
    <t>PRESUPUESTO AÑO 2004 VS 2005</t>
  </si>
  <si>
    <t>(1) Bacteriologa</t>
  </si>
  <si>
    <t>Servicios de personal</t>
  </si>
  <si>
    <t>OTROS INGRESOS FINANCIEROS</t>
  </si>
  <si>
    <t>OPCION 1</t>
  </si>
  <si>
    <t>UNIDADES</t>
  </si>
  <si>
    <t>PRECIO</t>
  </si>
  <si>
    <t>PPC</t>
  </si>
  <si>
    <t>SUBTOTAL GASTOS PERSONAL</t>
  </si>
  <si>
    <t>SUBTOTAL GASTOS GENERALES</t>
  </si>
  <si>
    <t>TOTAL FUNCIONAMIENTO</t>
  </si>
  <si>
    <t>INGRESOS</t>
  </si>
  <si>
    <t>GRAN TOTAL</t>
  </si>
  <si>
    <t>PROGRAMAS ECONÓMICA</t>
  </si>
  <si>
    <t>PROGRAMAS TÉCNICA</t>
  </si>
  <si>
    <t>PROGRAMAS MERCADEO</t>
  </si>
  <si>
    <t>TOTAL INVERSIÓN</t>
  </si>
  <si>
    <t>% PARTICI-PACIÓN</t>
  </si>
  <si>
    <t>GASTOS DE PERSONAL</t>
  </si>
  <si>
    <t xml:space="preserve">Dotación y suministro </t>
  </si>
  <si>
    <t>PROGRAMA PPC</t>
  </si>
  <si>
    <t>Sueldos</t>
  </si>
  <si>
    <t>Mesas de trabajo</t>
  </si>
  <si>
    <t>Aislamiento y caracterización del virus de la PPC</t>
  </si>
  <si>
    <t>Detección de anticuerpos contra el virus de la PPC</t>
  </si>
  <si>
    <t xml:space="preserve">Monitoreo información de precios </t>
  </si>
  <si>
    <t>SALUD 8,5%</t>
  </si>
  <si>
    <t>Item</t>
  </si>
  <si>
    <t>Programas y proyectos FNP</t>
  </si>
  <si>
    <t>programas y proyectos PPC</t>
  </si>
  <si>
    <t>CUOTA DE FOMENTO PORCICOLA</t>
  </si>
  <si>
    <t>EJECUCIÓN</t>
  </si>
  <si>
    <t>Gastos de viaje</t>
  </si>
  <si>
    <t>INVENTARIO</t>
  </si>
  <si>
    <t>Ingresos por ventas de tenazas</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</si>
  <si>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</si>
  <si>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</si>
  <si>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</si>
  <si>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</si>
  <si>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</si>
  <si>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</si>
  <si>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</si>
  <si>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</si>
  <si>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</si>
  <si>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</si>
  <si>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</si>
  <si>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</si>
  <si>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</si>
  <si>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DE SANIDAD</t>
  </si>
  <si>
    <t>INICIO</t>
  </si>
  <si>
    <t>FINAL</t>
  </si>
  <si>
    <t>DÍAS</t>
  </si>
  <si>
    <t xml:space="preserve">     Talleres de formación PPC</t>
  </si>
  <si>
    <t xml:space="preserve">     Asesoría internacional</t>
  </si>
  <si>
    <t>Ciclos de vacunación</t>
  </si>
  <si>
    <t>Gestión Ambiental</t>
  </si>
  <si>
    <t>Centro de servicios técnicos y financieros</t>
  </si>
  <si>
    <t>COMSAC</t>
  </si>
  <si>
    <t>Participación en negociaciones</t>
  </si>
  <si>
    <t>EXÁMENES INGRESO-SALIDA</t>
  </si>
  <si>
    <t>Eventos investigativos</t>
  </si>
  <si>
    <t xml:space="preserve">  Home panel</t>
  </si>
  <si>
    <t xml:space="preserve">  Brand tracking - Brand equity</t>
  </si>
  <si>
    <t>Calidad e inocuidad de la cadena cárnica</t>
  </si>
  <si>
    <t>COORDINADOR  DE PUBLICIDAD</t>
  </si>
  <si>
    <t xml:space="preserve">CUOTA DE FOMENTO PORCÍCOLA </t>
  </si>
  <si>
    <t>JEFE DE CALIDAD E INNOVACIÓN</t>
  </si>
  <si>
    <t>Programas y proyectos PPC</t>
  </si>
  <si>
    <t>BIOLÓGICO</t>
  </si>
  <si>
    <t>TOTAL VENTAS PPC</t>
  </si>
  <si>
    <t>Ingresos tarifas Centro de Servicios Técnicos y Financieros</t>
  </si>
  <si>
    <t>Herramientas del Centro de servicios</t>
  </si>
  <si>
    <t>Asesorías a pequeños productores</t>
  </si>
  <si>
    <t>Asesorías a medianos y grandes productores y grupos</t>
  </si>
  <si>
    <t>Actualización de información</t>
  </si>
  <si>
    <t>Auxilios de movilización de los coordinadores de recaudo</t>
  </si>
  <si>
    <t>Auxilios de comités de ganaderos y distribuidores</t>
  </si>
  <si>
    <t>Recolección de desechos biológicos</t>
  </si>
  <si>
    <t>Cuota de fomento porcícola</t>
  </si>
  <si>
    <t>Cuota de erradicación Peste Porcina Clásica</t>
  </si>
  <si>
    <t>Integra Seguridad</t>
  </si>
  <si>
    <t>JEFE DE GESTIÓN AMBIENTAL</t>
  </si>
  <si>
    <t>TOTAL NÓMINA DE PROGRAMAS</t>
  </si>
  <si>
    <t>DOTACIÓN</t>
  </si>
  <si>
    <t>VR. DOTACIÓN</t>
  </si>
  <si>
    <t>CESANTÍAS ANUALES 1SMMLV</t>
  </si>
  <si>
    <t>CAJA DE COMPENSACIÓN  4%</t>
  </si>
  <si>
    <t>CAJA DE COMPENSACIÓN ANUAL</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</si>
  <si>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</si>
  <si>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</si>
  <si>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</si>
  <si>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</si>
  <si>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</si>
  <si>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</si>
  <si>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</si>
  <si>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</si>
  <si>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</si>
  <si>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</si>
  <si>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</si>
  <si>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</si>
  <si>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PROFESIONAL GRADO 1  PRESUPUESTO</t>
  </si>
  <si>
    <t xml:space="preserve">   Proyectos aprobados 2007</t>
  </si>
  <si>
    <t xml:space="preserve">   Proyectos aprobados 2008</t>
  </si>
  <si>
    <t xml:space="preserve">   Red nacional de investigación</t>
  </si>
  <si>
    <t>PENSIÓN 12%</t>
  </si>
  <si>
    <t xml:space="preserve">     Brigadas</t>
  </si>
  <si>
    <t xml:space="preserve">     Compra de biológico, chapetas y tenazas</t>
  </si>
  <si>
    <t xml:space="preserve">TOTAL GASTOS </t>
  </si>
  <si>
    <t>JEFE DE CONTROL DE PROYECTOS</t>
  </si>
  <si>
    <t>IPC APROX.</t>
  </si>
  <si>
    <t>Cuota Auditaje</t>
  </si>
  <si>
    <t>Alquiler de equipos visita</t>
  </si>
  <si>
    <t>fotocopias</t>
  </si>
  <si>
    <t>29 PASIVO</t>
  </si>
  <si>
    <t>SUPUESTOS CALCULO DE INGRESOS PPC</t>
  </si>
  <si>
    <t>Precio compra vecol dosis 10</t>
  </si>
  <si>
    <t>Precio compra vecol dosis 25</t>
  </si>
  <si>
    <t>LABORATORIO</t>
  </si>
  <si>
    <t>VENTA PORCICULTOR 2009</t>
  </si>
  <si>
    <t>UTILIDAD ASOCIACIÓN</t>
  </si>
  <si>
    <t>VENTA PORCICULTOR</t>
  </si>
  <si>
    <t>UTILIDAD DISTRIBUIDOR</t>
  </si>
  <si>
    <t>Precio compra vecol dosis 50</t>
  </si>
  <si>
    <t>VECOL</t>
  </si>
  <si>
    <t>WYETH</t>
  </si>
  <si>
    <t>Precio venta asociación dosis 10</t>
  </si>
  <si>
    <t>Precio venta asociación dosis 25</t>
  </si>
  <si>
    <t>BARRIDOS</t>
  </si>
  <si>
    <t>Precio venta asociación dosis 50</t>
  </si>
  <si>
    <t>Precio compra chapeta</t>
  </si>
  <si>
    <t>Precio venta chapeta</t>
  </si>
  <si>
    <t>IVA Chapeta compra</t>
  </si>
  <si>
    <t>Precio venta total chapeta</t>
  </si>
  <si>
    <t>Incremento anual biológico comités</t>
  </si>
  <si>
    <t>Precio venta dosis barrido</t>
  </si>
  <si>
    <t>Participación por laboratorio distribución</t>
  </si>
  <si>
    <t>Vecol</t>
  </si>
  <si>
    <t>Wyeth</t>
  </si>
  <si>
    <t>Participación por presentación</t>
  </si>
  <si>
    <t>Presentación 10</t>
  </si>
  <si>
    <t>Presentación 25</t>
  </si>
  <si>
    <t>Presentación 50</t>
  </si>
  <si>
    <t>Participación por laboratorio barrido</t>
  </si>
  <si>
    <t>Proyección total de dosis</t>
  </si>
  <si>
    <t>Proyección dosis barrido</t>
  </si>
  <si>
    <t>Proyección brigadas</t>
  </si>
  <si>
    <t>Proyección distribución normal</t>
  </si>
  <si>
    <t>Chapetas barridos</t>
  </si>
  <si>
    <t>Chapetas brigadas</t>
  </si>
  <si>
    <t xml:space="preserve">DISTRIBUCIÓN </t>
  </si>
  <si>
    <t>BRIGADAS</t>
  </si>
  <si>
    <t>PRECIO DE NETO
COMPRA</t>
  </si>
  <si>
    <t>COSTO IVA</t>
  </si>
  <si>
    <t>PRECIO TOTAL 
COMPRA</t>
  </si>
  <si>
    <t>PRECIO DE
VENTA IVA INCLUIDO</t>
  </si>
  <si>
    <t>VENTAS</t>
  </si>
  <si>
    <t>CHAPETAS DISTRIBUCIÓN NORMAL</t>
  </si>
  <si>
    <t>CHAPETAS BRIGADAS</t>
  </si>
  <si>
    <t>CHAPETAS BARRIDOS</t>
  </si>
  <si>
    <t>TOTAL CHAPETAS</t>
  </si>
  <si>
    <t xml:space="preserve">Precio de compra </t>
  </si>
  <si>
    <t>Costo IVA Tenazas importación</t>
  </si>
  <si>
    <t>Costo IVA tenazas venta</t>
  </si>
  <si>
    <t>Precio venta sin IVA</t>
  </si>
  <si>
    <t>Precio venta con IVA</t>
  </si>
  <si>
    <t>INGRESOS EXTRAORDINARIOS FNP</t>
  </si>
  <si>
    <t>Intereses de Deudores</t>
  </si>
  <si>
    <t>% VARIACIÓN</t>
  </si>
  <si>
    <t>Impuestos</t>
  </si>
  <si>
    <t>Crecimiento Salario mínimo</t>
  </si>
  <si>
    <t>Incremento General</t>
  </si>
  <si>
    <t>Salario mínimo</t>
  </si>
  <si>
    <t xml:space="preserve">ASISTENTE DE CONTABILIDAD </t>
  </si>
  <si>
    <t>ASISTENTE DE PEDIDOS Y DESPACHOS</t>
  </si>
  <si>
    <t>Convenio MADR</t>
  </si>
  <si>
    <t>Gastos de interventoria Convenio MADR</t>
  </si>
  <si>
    <t>Contratación de personal</t>
  </si>
  <si>
    <t>INGRESOS FNP</t>
  </si>
  <si>
    <t>INGRESOS PPC</t>
  </si>
  <si>
    <t>Campaña de fomento al consumo</t>
  </si>
  <si>
    <t xml:space="preserve">   Material POP</t>
  </si>
  <si>
    <t xml:space="preserve">   Asesorías HACCP y BPM</t>
  </si>
  <si>
    <t xml:space="preserve">   Asesorías ASA-IM</t>
  </si>
  <si>
    <t>Divulgación sectorial</t>
  </si>
  <si>
    <t xml:space="preserve">   Pauta institucional</t>
  </si>
  <si>
    <t>Programa nacional de mejoramiento del estatus sanitario</t>
  </si>
  <si>
    <t>Fortalecimiento de la capacidad diagnóstica</t>
  </si>
  <si>
    <t>DIGITADOR-CODIFICADOR</t>
  </si>
  <si>
    <t>DIGITADOR -CODIFICADOR</t>
  </si>
  <si>
    <t xml:space="preserve">DIRECTOR </t>
  </si>
  <si>
    <t>PROFESIONAL GRADO 2 PROYECTO IAT</t>
  </si>
  <si>
    <t>ASISTENTE ADMINISTRATIVO PROYECTO IAT</t>
  </si>
  <si>
    <t>SUPERVISOR PROYECTO IAT</t>
  </si>
  <si>
    <t>SUPERVISOR</t>
  </si>
  <si>
    <t xml:space="preserve">  Entrenamiento</t>
  </si>
  <si>
    <t>ANEXO 2</t>
  </si>
  <si>
    <t>ÁREA ECONÓMICA</t>
  </si>
  <si>
    <t>Aux. Transporte</t>
  </si>
  <si>
    <t>AÑO 2010</t>
  </si>
  <si>
    <t>INGRESOS PROGRAMAS Y PROYECTOS FNP</t>
  </si>
  <si>
    <t>TOTAL EXTRAORDINARIOS FNP</t>
  </si>
  <si>
    <t>INGRESOS PROGRAMAS Y PROYECTOS PPC</t>
  </si>
  <si>
    <t>TOTAL  PROGRAMAS Y PROYECTOS FNP</t>
  </si>
  <si>
    <t>TOTAL  PROGRAMAS Y PROYECTOS PPC</t>
  </si>
  <si>
    <t>ENERO-JUNIO</t>
  </si>
  <si>
    <t>JULIO-DIC</t>
  </si>
  <si>
    <t>Cocolsi</t>
  </si>
  <si>
    <t>Heinsonh</t>
  </si>
  <si>
    <t>Monitoreo serológico carta entendimiento No.3</t>
  </si>
  <si>
    <t xml:space="preserve">       Contrapartida MADR</t>
  </si>
  <si>
    <t>% EJECUCIÓN</t>
  </si>
  <si>
    <t>EJECUCIÓN INGRESOS FONDO NACIONAL DE LA PORCICULTURA</t>
  </si>
  <si>
    <t>EJECUCIÓN INGRESOS PESTE PORCINA CLÁSICA</t>
  </si>
  <si>
    <t>EJECUCIÓN GASTOS FONDO NACIONAL DE LA PORCICULTURA</t>
  </si>
  <si>
    <t>EJECUCIÓN GASTOS PESTE PORCINA CLÁSICA</t>
  </si>
  <si>
    <t>Ingresos Fondo Nacional de la Porcicultura</t>
  </si>
  <si>
    <t>Superavit FNP</t>
  </si>
  <si>
    <t>Superavit PPC</t>
  </si>
  <si>
    <t>Ingresos Peste Porcina Clásica</t>
  </si>
  <si>
    <t>Gastos Peste Porcina Clásica</t>
  </si>
  <si>
    <t>Gastos Fondo Nacional de la Porcicultura</t>
  </si>
  <si>
    <t xml:space="preserve">Laboratorios Privados </t>
  </si>
  <si>
    <t>Carta de entendimiento No. 2 ICA</t>
  </si>
  <si>
    <t>Carta de entendimiento No.3</t>
  </si>
  <si>
    <t>Evaluación periódica de bioseguridad y sanidad</t>
  </si>
  <si>
    <t>Diagnóstico de laboratorio PNMES</t>
  </si>
  <si>
    <t>Reportes One Click y Benchmarking</t>
  </si>
  <si>
    <t>Consultorias sanitarias</t>
  </si>
  <si>
    <t>Carta de entendimiento No. 4</t>
  </si>
  <si>
    <t>Seminario internacional de sanidad</t>
  </si>
  <si>
    <t>Jornadas académicas en producción primaria</t>
  </si>
  <si>
    <t>Producción de nuevas herramientas de transferencia</t>
  </si>
  <si>
    <t xml:space="preserve">Premio Nacional de Productividad </t>
  </si>
  <si>
    <t>Planes de Acción CAR´s</t>
  </si>
  <si>
    <t>Convenios CAR's</t>
  </si>
  <si>
    <t>Licencias antivirus</t>
  </si>
  <si>
    <t>Incremento anual precio compra chapetas</t>
  </si>
  <si>
    <t>Incremento anual laboratorios</t>
  </si>
  <si>
    <t>Incremento anual biológico y chapetas Asociación</t>
  </si>
  <si>
    <t>Precio venta chapeta Zona Libre</t>
  </si>
  <si>
    <t>IVA Chapeta Zona Libre</t>
  </si>
  <si>
    <t>Precio Venta Chapeta distribuidor</t>
  </si>
  <si>
    <t>Participación por presentación brigadas</t>
  </si>
  <si>
    <t>Total chapetas Zona Endémica</t>
  </si>
  <si>
    <t>Total chapetas Zona Libre</t>
  </si>
  <si>
    <t>CHAPETAS ZONA LIBRE</t>
  </si>
  <si>
    <t>Costo total tenazas</t>
  </si>
  <si>
    <t>INGRESOS POR VENTAS TOTALES</t>
  </si>
  <si>
    <t>Circulación viral en Pecaries</t>
  </si>
  <si>
    <t xml:space="preserve">  Estudio científico</t>
  </si>
  <si>
    <t xml:space="preserve">  Monitoreo de Medios</t>
  </si>
  <si>
    <t xml:space="preserve">  Post test de campaña</t>
  </si>
  <si>
    <t xml:space="preserve">  Divulgadores Técnicos-Comerciales</t>
  </si>
  <si>
    <t xml:space="preserve">  Otras asesorias en BPM - Sello de Respaldo</t>
  </si>
  <si>
    <t xml:space="preserve">  Eventos entrega Sello de respaldo</t>
  </si>
  <si>
    <t xml:space="preserve">  Autorización de capacitación continuada ante ETS</t>
  </si>
  <si>
    <t xml:space="preserve">  Asesorias ASA-IM puntos de venta</t>
  </si>
  <si>
    <t xml:space="preserve">  Material de apoyo</t>
  </si>
  <si>
    <t xml:space="preserve">  Asesorias Nutricionistas</t>
  </si>
  <si>
    <t xml:space="preserve">  Asesorías Chef</t>
  </si>
  <si>
    <t xml:space="preserve">  Actividad Día Saludable</t>
  </si>
  <si>
    <t xml:space="preserve">  Organizar y patrocinar eventos de salud</t>
  </si>
  <si>
    <t xml:space="preserve">   Feria de la carne de cerdo</t>
  </si>
  <si>
    <t xml:space="preserve">   Pauta Publicitaria</t>
  </si>
  <si>
    <t xml:space="preserve">   Producción de comerciales</t>
  </si>
  <si>
    <t xml:space="preserve">   Desarrollo nuevas recetas</t>
  </si>
  <si>
    <t xml:space="preserve">   CRM - página web</t>
  </si>
  <si>
    <t xml:space="preserve">   Consultoría MESA</t>
  </si>
  <si>
    <t xml:space="preserve">   Porciamericas</t>
  </si>
  <si>
    <t>Canales de comercialización</t>
  </si>
  <si>
    <t xml:space="preserve">   Estrategia educativa</t>
  </si>
  <si>
    <t xml:space="preserve">Sensibilización a profesionales </t>
  </si>
  <si>
    <t>PROYECTO IAT 1</t>
  </si>
  <si>
    <t>PROYECTO IAT 2</t>
  </si>
  <si>
    <t>Proyecto IAT 1</t>
  </si>
  <si>
    <t>Proyecto IAT 2</t>
  </si>
  <si>
    <t>Proyecto IAT 1 - Productores</t>
  </si>
  <si>
    <t xml:space="preserve">   Programa IAT (1)</t>
  </si>
  <si>
    <t xml:space="preserve">   Programa IAT (2)</t>
  </si>
  <si>
    <t>Sistema de gestión de calidad</t>
  </si>
  <si>
    <t xml:space="preserve">Cadena porcícola </t>
  </si>
  <si>
    <t>Estudio: Actualización de los parámetros y ecuación de Magro - 2 zonas</t>
  </si>
  <si>
    <t>Jornada de capacitación coordinadores</t>
  </si>
  <si>
    <t>Seguimiento recaudo regional</t>
  </si>
  <si>
    <t xml:space="preserve">  Otras asesorias en calidad, inocuidad y ambiental PB</t>
  </si>
  <si>
    <t xml:space="preserve">   Kit publicitario</t>
  </si>
  <si>
    <t xml:space="preserve">       Contrapartida FNP y productores</t>
  </si>
  <si>
    <t>PROFESIONAL GRADO 1 ECONÓMICO</t>
  </si>
  <si>
    <t>PROFESIONAL GRADO 1 CRM</t>
  </si>
  <si>
    <t>JEFE DE ANÁLISIS EPIDEMIOLÓGICO</t>
  </si>
  <si>
    <t>Convenio MADR -Comisión de Sacrificio - Trabajo con autoridades</t>
  </si>
  <si>
    <t>Convenio MADR -Trazabilidad</t>
  </si>
  <si>
    <t>Análisis de información</t>
  </si>
  <si>
    <t>Interapidisimo</t>
  </si>
  <si>
    <t>COORDINADOR ASISTENCIA TÉCNICA</t>
  </si>
  <si>
    <t>COORDINADOR CENTRO DE  SERVICIOS</t>
  </si>
  <si>
    <t>AUXILIAR DE DESPACHOS</t>
  </si>
  <si>
    <t>AUXILIAR 2</t>
  </si>
  <si>
    <t>Convenio MADR- seguimiento CONPES</t>
  </si>
  <si>
    <t xml:space="preserve">BACTERIÓLOGO </t>
  </si>
  <si>
    <t>AÑO 2.011</t>
  </si>
  <si>
    <t>PRESUPUESTO DE INGRESOS VIGENCIA  2.011</t>
  </si>
  <si>
    <t>AÑO 2011</t>
  </si>
  <si>
    <t>VARIABLES DE INGRESOS VIGENCIA 2011</t>
  </si>
  <si>
    <t>CABEZAS ESTIMADAS AÑO 2010</t>
  </si>
  <si>
    <t>TOTAL CABEZAS MAS INCREMENTO PARA 2011</t>
  </si>
  <si>
    <t>SALARIO MÍNIMO MENSUAL LEGAL VIGENTE AÑO 2010</t>
  </si>
  <si>
    <t>Salario diario legal vigente estimado año 2011</t>
  </si>
  <si>
    <t>OTROS INGRESOS VIGENCIA  2.011</t>
  </si>
  <si>
    <t>EJECUCIÓN PROYECTADA DE INGRESOS AÑO 2010</t>
  </si>
  <si>
    <t>EJECUCIÓN PROYECTADA DE GASTOS AÑO 2010</t>
  </si>
  <si>
    <t>SUPERAVIT PROYECTADO  AÑO 2010</t>
  </si>
  <si>
    <t>PRESUPUESTO DE GASTOS DE FUNCIONAMIENTO E INVERSIÓN 2.011</t>
  </si>
  <si>
    <t>% 11/10</t>
  </si>
  <si>
    <t>TOTAL 2011</t>
  </si>
  <si>
    <t>VALOR ANUAL 2011</t>
  </si>
  <si>
    <t>INGRESOS 2010</t>
  </si>
  <si>
    <t>CUOTA FOMENTO PORCICOLA ESTIMADA AÑO 2011</t>
  </si>
  <si>
    <t>CUOTA EPPC ESTIMADA AÑO 2011</t>
  </si>
  <si>
    <t xml:space="preserve">PROFESIONAL GRADO 2 </t>
  </si>
  <si>
    <t>INGRESOS TOTALES 2011</t>
  </si>
  <si>
    <t>PRESEUPUESTO INICIAL</t>
  </si>
  <si>
    <t>ACUERDO 4/10</t>
  </si>
  <si>
    <t>ACUERDO 7/10</t>
  </si>
  <si>
    <t>ACUERDO 10/10</t>
  </si>
  <si>
    <t>PRESUPUESTO DEFINITIVO</t>
  </si>
  <si>
    <t>Desarrollo de un sello de respaldo</t>
  </si>
  <si>
    <t>Logística Barridos</t>
  </si>
  <si>
    <t>TOTAL SUPERAVIT 2010</t>
  </si>
  <si>
    <t xml:space="preserve">   Estudios de prevalencia</t>
  </si>
  <si>
    <t xml:space="preserve">   Proyectos 2007</t>
  </si>
  <si>
    <t xml:space="preserve">   Proyectos 2008</t>
  </si>
  <si>
    <t>Jornadas de costos y analisis en la produccion porcina</t>
  </si>
  <si>
    <t xml:space="preserve">   Programa estrategico Ibeoroeka - colciencias</t>
  </si>
  <si>
    <t>Monitoreo serológico carta entendimiento No.2</t>
  </si>
  <si>
    <t>Convenio SENA -Seminario internacional de reproducción</t>
  </si>
  <si>
    <t xml:space="preserve">     Reunión anual</t>
  </si>
  <si>
    <t>Determinación de factores de riesgo</t>
  </si>
  <si>
    <t xml:space="preserve">Auxilios de comités de ganaderos </t>
  </si>
  <si>
    <t>Logistica barridos</t>
  </si>
  <si>
    <t>COSTO ASOCIACIÓN 2011</t>
  </si>
  <si>
    <t>VENTA DISTRIBUIDOR 2011</t>
  </si>
  <si>
    <t>Precio compra Pfizer dosis 10</t>
  </si>
  <si>
    <t>Precio compra Pfizer dosis 25</t>
  </si>
  <si>
    <t xml:space="preserve">Precio compra Pfizer dosis 50 </t>
  </si>
  <si>
    <t>IVA Chapeta cventa</t>
  </si>
  <si>
    <t>PROYECTADO VECOL 2011</t>
  </si>
  <si>
    <t>PROYECTADO WYETH 2.011</t>
  </si>
  <si>
    <t>LABORATORIO PFIZER</t>
  </si>
  <si>
    <t>Subtotal Pfizer</t>
  </si>
  <si>
    <t>Total Vecol + Pfizer</t>
  </si>
  <si>
    <t>PROYECTADO PFIZER 2011</t>
  </si>
  <si>
    <t>LABOTARORIO VECOL 2011</t>
  </si>
  <si>
    <t>LABORATORIOS PFIZER</t>
  </si>
  <si>
    <t>Total Pfizer - Vecol</t>
  </si>
  <si>
    <t xml:space="preserve">COSTOS TOTALES </t>
  </si>
  <si>
    <t>ENERO</t>
  </si>
  <si>
    <t>FEBRERO</t>
  </si>
  <si>
    <t>MARZO</t>
  </si>
  <si>
    <t>ABRIL</t>
  </si>
  <si>
    <t>MAYO</t>
  </si>
  <si>
    <t>JUNIO</t>
  </si>
  <si>
    <t>JULIO</t>
  </si>
  <si>
    <t>AGOSTO</t>
  </si>
  <si>
    <t xml:space="preserve">PROMEDIO </t>
  </si>
  <si>
    <t>SALDO PROMEDIO CTA. AHORROS OCCIDENTE</t>
  </si>
  <si>
    <t>INT. CTA. DE AHORRO  OCCIDENTE</t>
  </si>
  <si>
    <t>SALDO PROMEDIO CTA. AHORROS BANCOLOMBIA</t>
  </si>
  <si>
    <t>INT. CTA. DE AHORRO BANCOLOMBIA</t>
  </si>
  <si>
    <t>SALDO PROMEDIO FIDUPREVISORA</t>
  </si>
  <si>
    <t>RENDIMIENTOS FIDUPREVISORA</t>
  </si>
  <si>
    <t>INTERESES DE MORA</t>
  </si>
  <si>
    <t>CAPITAL CDT</t>
  </si>
  <si>
    <t>SALDO PROMEDIO CTA. AHORROS BANCAFE</t>
  </si>
  <si>
    <t>INT. CTA. DE AHORRO  BANCAFE</t>
  </si>
  <si>
    <t>CDT SUFINANCIAMIENTO T.E. 3.70%</t>
  </si>
  <si>
    <t>CDT HELM LEASING T.E. 3.80%</t>
  </si>
  <si>
    <t>PROMEDIO</t>
  </si>
  <si>
    <t>CAPITAL</t>
  </si>
  <si>
    <t>RENDIMIENTOS</t>
  </si>
  <si>
    <t>EJECUCIÓN  ENE-JUN 2010</t>
  </si>
  <si>
    <t>EJECUCIÓN  JUL-SEP 2010</t>
  </si>
  <si>
    <t>EJECUCIÓN  OCT-DIC 2010</t>
  </si>
  <si>
    <t xml:space="preserve">  Monitor Yanhaas</t>
  </si>
  <si>
    <t xml:space="preserve">  Asesores técnicos en calidad</t>
  </si>
  <si>
    <t xml:space="preserve">  Divulgación sello</t>
  </si>
  <si>
    <t xml:space="preserve">   Actividad con restaurantes</t>
  </si>
  <si>
    <t xml:space="preserve">   Club Gourmet de la Carne de Cerdo</t>
  </si>
  <si>
    <t xml:space="preserve">   Agroexpo - Porcinino 2011 </t>
  </si>
  <si>
    <t>Porcinino</t>
  </si>
  <si>
    <t>Feria de la carne</t>
  </si>
  <si>
    <t>ENE-MAR</t>
  </si>
  <si>
    <t>ABR-JUN</t>
  </si>
  <si>
    <t>JUL-SEPT</t>
  </si>
  <si>
    <t>OCT-DIC</t>
  </si>
  <si>
    <t>Rivercom 1140</t>
  </si>
  <si>
    <t>DIAN- inspección en puertos</t>
  </si>
  <si>
    <t>Ecuación de magro 2011</t>
  </si>
  <si>
    <t>Comisión de Sacrificio - Trabajo con autoridades</t>
  </si>
  <si>
    <t>Convenio SENA</t>
  </si>
  <si>
    <t xml:space="preserve">       Contrapartida FNP</t>
  </si>
  <si>
    <t xml:space="preserve">  Asesorías HACCP y BPM</t>
  </si>
  <si>
    <t xml:space="preserve">  Día Saludable con carne de cerdo</t>
  </si>
  <si>
    <t xml:space="preserve">   Concurso sabor innovador</t>
  </si>
  <si>
    <t>Comercialización y calidad</t>
  </si>
  <si>
    <t>Convenios CAR</t>
  </si>
  <si>
    <t>diferencia</t>
  </si>
  <si>
    <t>Proyecto IAT 2 - Productores</t>
  </si>
  <si>
    <t>ANEXO 3</t>
  </si>
  <si>
    <t>PRESUPUESTO AÑO 2010</t>
  </si>
  <si>
    <t>% INCREMENTO</t>
  </si>
  <si>
    <t>PROGRAMA DE ESTUDIOS ECONÓMICOS</t>
  </si>
  <si>
    <t>OTROS SERVICIOS PERSONALES</t>
  </si>
  <si>
    <t>CENTRO DE SERVICIOS TÉCNICOS Y FINANCIEROS</t>
  </si>
  <si>
    <t>FORTALECIMIENTO INSTITUCIONAL</t>
  </si>
  <si>
    <t>SISTEMAS DE INFORMACIÓN DE MERCADOS</t>
  </si>
  <si>
    <t>FORTALECIMIENTO AL RECAUDO</t>
  </si>
  <si>
    <t>PROGRAMA DE ESTUDIOS DE MERCADEO</t>
  </si>
  <si>
    <t>EVENTOS INVESTIGATIVOS</t>
  </si>
  <si>
    <t>DISEÑO Y DESARROLLO DE UN SELLO DE RESPALDO</t>
  </si>
  <si>
    <t>SENSIBILIZACIÓN A PROFESIONALES</t>
  </si>
  <si>
    <t>CAMPAÑA DE FOMENTO AL CONSUMO</t>
  </si>
  <si>
    <t>DIVULGACION SECTORIAL</t>
  </si>
  <si>
    <t>CALIDAD E INOCUIDAD DE LA CADENA CÁRNICA</t>
  </si>
  <si>
    <t>DESARROLLO DEL SELLO DE RESPALDO</t>
  </si>
  <si>
    <t>CANALES DE COMERCIALIZACIÓN</t>
  </si>
  <si>
    <t>PROGRAMA DE ESTUDIOS TÉCNICOS</t>
  </si>
  <si>
    <t>INVESTIGACIÓN</t>
  </si>
  <si>
    <t>EFICIENCIA SANITARIA</t>
  </si>
  <si>
    <t>GESTIÓN DE TRANSFERENCIA DE TECNOLOGIA</t>
  </si>
  <si>
    <t xml:space="preserve">GESTIÓN AMBIENTAL </t>
  </si>
  <si>
    <t>PROGRAMA DE ESTUDIOS PPC</t>
  </si>
  <si>
    <t>REGIONALIZACIÓN</t>
  </si>
  <si>
    <t>CAPACITACIÓN Y DIVULGACIÓN</t>
  </si>
  <si>
    <t>VIGILANCIA EPIDEMIOLOGICA - CARTA DE ENTENDIMIENTO 1</t>
  </si>
  <si>
    <t>ADMINISTRACIÓN DEL PROGRAMA</t>
  </si>
  <si>
    <t>CICLOS DE VACUNACIÓN</t>
  </si>
  <si>
    <t>GASTOS ÁREA FINANCIERA Y AUDITORÍA</t>
  </si>
  <si>
    <t>HONORARIOS PROFESIONALES</t>
  </si>
  <si>
    <t>CUOTA DE FOMENTO</t>
  </si>
  <si>
    <t>REGIONALIZACIÓN DE LA INVERSIÓN</t>
  </si>
  <si>
    <t>ANEXO 4</t>
  </si>
  <si>
    <t>DEPARTAMENTO</t>
  </si>
  <si>
    <t>TOTAL PROGRAMAS</t>
  </si>
  <si>
    <t>% INVERSIÓN</t>
  </si>
  <si>
    <t>%  RECAUDO</t>
  </si>
  <si>
    <t>CENTRO ORIENTE</t>
  </si>
  <si>
    <t>BOYACÁ</t>
  </si>
  <si>
    <t>CUNDINAMARCA</t>
  </si>
  <si>
    <t>HUILA</t>
  </si>
  <si>
    <t>SANTANDER</t>
  </si>
  <si>
    <t>NORTE DE SANTANDER</t>
  </si>
  <si>
    <t>TOLIMA</t>
  </si>
  <si>
    <t>COSTA ATLÁNTICA</t>
  </si>
  <si>
    <t>ATLÁNTICO</t>
  </si>
  <si>
    <t>BOLÍVAR</t>
  </si>
  <si>
    <t>CESAR</t>
  </si>
  <si>
    <t>CÓRDOBA</t>
  </si>
  <si>
    <t>GUAJIRA</t>
  </si>
  <si>
    <t>MAGDALENA</t>
  </si>
  <si>
    <t>SUCRE</t>
  </si>
  <si>
    <t>SAN ANDRÉS</t>
  </si>
  <si>
    <t>OCCIDENTE</t>
  </si>
  <si>
    <t>ANTIOQUIA</t>
  </si>
  <si>
    <t>CALDAS</t>
  </si>
  <si>
    <t>CAUCA</t>
  </si>
  <si>
    <t>CHOCÓ</t>
  </si>
  <si>
    <t xml:space="preserve">NARIÑO </t>
  </si>
  <si>
    <t>QUINDIO</t>
  </si>
  <si>
    <t xml:space="preserve">RISARALDA </t>
  </si>
  <si>
    <t>VALLE DEL CAUCA</t>
  </si>
  <si>
    <t>AMAZONAS</t>
  </si>
  <si>
    <t>CAQUETÁ</t>
  </si>
  <si>
    <t>PUTUMAYO</t>
  </si>
  <si>
    <t>ORINOQUÍA</t>
  </si>
  <si>
    <t>ARAUCA</t>
  </si>
  <si>
    <t>CASANARE</t>
  </si>
  <si>
    <t>GUAINÍA</t>
  </si>
  <si>
    <t>GUAVIARE</t>
  </si>
  <si>
    <t>META</t>
  </si>
  <si>
    <t xml:space="preserve">VAUPÉS </t>
  </si>
  <si>
    <t>VICHADA</t>
  </si>
  <si>
    <t>PROYECTOS COBERTURA NACIONAL</t>
  </si>
  <si>
    <t>TOTALES</t>
  </si>
  <si>
    <t>INCREMENTOS</t>
  </si>
  <si>
    <t>AÑO 2.010</t>
  </si>
  <si>
    <t>VALOR ANUAL 2006</t>
  </si>
  <si>
    <t>VALOR ANUAL 2010</t>
  </si>
  <si>
    <t>% INCREMENTO SUELDO</t>
  </si>
  <si>
    <t>% INCREMENTO ANUAL</t>
  </si>
  <si>
    <t>% SUELDO</t>
  </si>
  <si>
    <t>% ANUAL</t>
  </si>
  <si>
    <t>COORDINADOR CENTRO DE SERVICIOS</t>
  </si>
  <si>
    <t xml:space="preserve"> % INCREMENTO TOTAL </t>
  </si>
  <si>
    <t>TOTAL NOMINA DE PROGRAMAS</t>
  </si>
  <si>
    <t>INCREMENTOS ANUALES</t>
  </si>
  <si>
    <t>incremento de personal</t>
  </si>
  <si>
    <t>PRESUPUESTO VIGENCIA 2.011</t>
  </si>
  <si>
    <t>PRESUPUESTO AÑO 2011</t>
  </si>
  <si>
    <t>COMERCIALIZACIÓN Y CALIDAD</t>
  </si>
  <si>
    <t>PRESUPUESTO GASTOS DE FUNCIONAMIENTO E INVERSIÓN 2.011</t>
  </si>
  <si>
    <t>Tranexco</t>
  </si>
  <si>
    <t>Investigación Impacto Salud Humana</t>
  </si>
  <si>
    <t>Como vender más carne de cerdo</t>
  </si>
  <si>
    <t>EJECUCIÓN PROYECTADA 2010</t>
  </si>
  <si>
    <t>FONDO DE EMERGENCIA OLA INVERNAL</t>
  </si>
  <si>
    <t>Material de apoyo y logistica capacitaciones</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</si>
</sst>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 _€_-;\-* #,##0.00\ _€_-;_-* &quot;-&quot;??\ _€_-;_-@_-"/>
    <numFmt numFmtId="181" formatCode="_ * #,##0_ ;_ * \-#,##0_ ;_ * &quot;-&quot;??_ ;_ @_ "/>
    <numFmt numFmtId="182" formatCode="0.0%"/>
    <numFmt numFmtId="183" formatCode="_(* #,##0_);_(* \(#,##0\);_(* &quot;-&quot;??_);_(@_)"/>
    <numFmt numFmtId="184" formatCode="_(* #,##0.000_);_(* \(#,##0.000\);_(* &quot;-&quot;??_);_(@_)"/>
    <numFmt numFmtId="185" formatCode="#,##0;[Red]#,##0"/>
    <numFmt numFmtId="186" formatCode="0.000%"/>
    <numFmt numFmtId="187" formatCode="&quot;$&quot;\ #,##0"/>
    <numFmt numFmtId="188" formatCode="_-* #,##0\ _€_-;\-* #,##0\ _€_-;_-* &quot;-&quot;??\ _€_-;_-@_-"/>
    <numFmt numFmtId="189" formatCode="_ &quot;$&quot;\ * #,##0_ ;_ &quot;$&quot;\ * \-#,##0_ ;_ &quot;$&quot;\ * &quot;-&quot;??_ ;_ @_ "/>
    <numFmt numFmtId="190" formatCode="[$$-240A]\ #,##0.00"/>
    <numFmt numFmtId="191" formatCode="0.0"/>
    <numFmt numFmtId="192" formatCode="[$$-240A]\ #,##0.0"/>
    <numFmt numFmtId="193" formatCode="0.0000"/>
    <numFmt numFmtId="194" formatCode="#,##0.00000"/>
    <numFmt numFmtId="195" formatCode="_ [$€-2]\ * #,##0.00_ ;_ [$€-2]\ * \-#,##0.00_ ;_ [$€-2]\ * &quot;-&quot;??_ "/>
    <numFmt numFmtId="196" formatCode="_-* #,##0_-;\-* #,##0_-;_-* &quot;-&quot;??_-;_-@_-"/>
    <numFmt numFmtId="197" formatCode="0.0000%"/>
    <numFmt numFmtId="198" formatCode="[$$-240A]\ #,##0.000"/>
    <numFmt numFmtId="199" formatCode="[$$-240A]\ #,##0"/>
    <numFmt numFmtId="200" formatCode="[$$-240A]\ #,##0.0000"/>
    <numFmt numFmtId="201" formatCode="_ * #,##0.0_ ;_ * \-#,##0.0_ ;_ * &quot;-&quot;??_ ;_ @_ "/>
    <numFmt numFmtId="202" formatCode="_ * #,##0.000_ ;_ * \-#,##0.000_ ;_ * &quot;-&quot;??_ ;_ @_ "/>
    <numFmt numFmtId="203" formatCode="_ * #,##0.0000_ ;_ * \-#,##0.0000_ ;_ * &quot;-&quot;??_ ;_ @_ "/>
    <numFmt numFmtId="204" formatCode="_-* #,##0.0_-;\-* #,##0.0_-;_-* &quot;-&quot;?_-;_-@_-"/>
    <numFmt numFmtId="205" formatCode="#,##0.000000"/>
    <numFmt numFmtId="206" formatCode="#,##0.0000000"/>
    <numFmt numFmtId="207" formatCode="#,##0.0000"/>
    <numFmt numFmtId="208" formatCode="#,##0.000"/>
    <numFmt numFmtId="209" formatCode="#,##0.0"/>
    <numFmt numFmtId="210" formatCode="_-* #,##0_-;\-* #,##0_-;_-* &quot;-&quot;?_-;_-@_-"/>
    <numFmt numFmtId="211" formatCode="#,##0.00000000"/>
    <numFmt numFmtId="212" formatCode="_ &quot;$&quot;\ * #,##0.000_ ;_ &quot;$&quot;\ * \-#,##0.000_ ;_ &quot;$&quot;\ * &quot;-&quot;??_ ;_ @_ "/>
    <numFmt numFmtId="213" formatCode="_ &quot;$&quot;\ * #,##0.0_ ;_ &quot;$&quot;\ * \-#,##0.0_ ;_ &quot;$&quot;\ * &quot;-&quot;??_ ;_ @_ "/>
    <numFmt numFmtId="214" formatCode="0.00000%"/>
    <numFmt numFmtId="215" formatCode="_(&quot;$&quot;* #,##0.00_);_(&quot;$&quot;* \(#,##0.00\);_(&quot;$&quot;* &quot;-&quot;??_);_(@_)"/>
    <numFmt numFmtId="216" formatCode="_(&quot;$&quot;* #,##0_);_(&quot;$&quot;* \(#,##0\);_(&quot;$&quot;* &quot;-&quot;??_);_(@_)"/>
  </numFmts>
  <fonts count="87">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b/>
      <sz val="10"/>
      <name val="Comic Sans MS"/>
      <family val="4"/>
    </font>
    <font>
      <sz val="8"/>
      <name val="Tahoma"/>
      <family val="2"/>
    </font>
    <font>
      <b/>
      <sz val="8"/>
      <name val="Tahoma"/>
      <family val="2"/>
    </font>
    <font>
      <sz val="7"/>
      <name val="Arial"/>
      <family val="2"/>
    </font>
    <font>
      <sz val="10"/>
      <name val="Times New Roman"/>
      <family val="1"/>
    </font>
    <font>
      <sz val="11"/>
      <name val="Comic Sans MS"/>
      <family val="4"/>
    </font>
    <font>
      <b/>
      <sz val="11"/>
      <name val="Comic Sans MS"/>
      <family val="4"/>
    </font>
    <font>
      <sz val="10"/>
      <color indexed="9"/>
      <name val="Comic Sans MS"/>
      <family val="4"/>
    </font>
    <font>
      <sz val="10"/>
      <color indexed="9"/>
      <name val="Arial"/>
      <family val="2"/>
    </font>
    <font>
      <sz val="10"/>
      <color indexed="10"/>
      <name val="Comic Sans MS"/>
      <family val="4"/>
    </font>
    <font>
      <sz val="9"/>
      <color indexed="14"/>
      <name val="Times New Roman"/>
      <family val="1"/>
    </font>
    <font>
      <sz val="10"/>
      <color indexed="14"/>
      <name val="Arial"/>
      <family val="2"/>
    </font>
    <font>
      <b/>
      <sz val="11"/>
      <name val="Arial"/>
      <family val="2"/>
    </font>
    <font>
      <sz val="11"/>
      <color indexed="10"/>
      <name val="Arial"/>
      <family val="2"/>
    </font>
    <font>
      <sz val="11"/>
      <color indexed="9"/>
      <name val="Arial"/>
      <family val="2"/>
    </font>
    <font>
      <b/>
      <sz val="11"/>
      <color indexed="9"/>
      <name val="Arial"/>
      <family val="2"/>
    </font>
    <font>
      <sz val="11"/>
      <color indexed="8"/>
      <name val="Arial"/>
      <family val="2"/>
    </font>
    <font>
      <sz val="12"/>
      <name val="Times New Roman"/>
      <family val="1"/>
    </font>
    <font>
      <b/>
      <sz val="12"/>
      <name val="Times New Roman"/>
      <family val="1"/>
    </font>
    <font>
      <b/>
      <sz val="14"/>
      <name val="Arial"/>
      <family val="2"/>
    </font>
    <font>
      <b/>
      <sz val="12"/>
      <name val="Arial"/>
      <family val="2"/>
    </font>
    <font>
      <sz val="10"/>
      <name val="Tahoma"/>
      <family val="2"/>
    </font>
    <font>
      <sz val="10"/>
      <color indexed="10"/>
      <name val="Arial"/>
      <family val="2"/>
    </font>
    <font>
      <b/>
      <sz val="11"/>
      <color indexed="8"/>
      <name val="Arial"/>
      <family val="2"/>
    </font>
    <font>
      <b/>
      <sz val="11"/>
      <color indexed="10"/>
      <name val="Arial"/>
      <family val="2"/>
    </font>
    <font>
      <b/>
      <sz val="11"/>
      <color indexed="8"/>
      <name val="Calibri"/>
      <family val="2"/>
    </font>
    <font>
      <sz val="11"/>
      <color indexed="18"/>
      <name val="Arial"/>
      <family val="2"/>
    </font>
    <font>
      <sz val="12"/>
      <name val="Arial"/>
      <family val="2"/>
    </font>
    <font>
      <sz val="10"/>
      <color indexed="13"/>
      <name val="Arial"/>
      <family val="2"/>
    </font>
    <font>
      <sz val="11"/>
      <color indexed="8"/>
      <name val="Calibri"/>
      <family val="2"/>
    </font>
    <font>
      <b/>
      <sz val="11"/>
      <color indexed="8"/>
      <name val="Times New Roman"/>
      <family val="1"/>
    </font>
    <font>
      <sz val="11"/>
      <color indexed="8"/>
      <name val="Times New Roman"/>
      <family val="1"/>
    </font>
    <font>
      <sz val="11"/>
      <name val="Tahoma"/>
      <family val="2"/>
    </font>
    <font>
      <b/>
      <sz val="12"/>
      <name val="Comic Sans MS"/>
      <family val="4"/>
    </font>
    <font>
      <b/>
      <sz val="12"/>
      <color indexed="8"/>
      <name val="Arial"/>
      <family val="2"/>
    </font>
    <font>
      <b/>
      <sz val="10"/>
      <color indexed="9"/>
      <name val="Arial"/>
      <family val="2"/>
    </font>
    <font>
      <b/>
      <sz val="10"/>
      <color indexed="10"/>
      <name val="Arial"/>
      <family val="2"/>
    </font>
    <font>
      <sz val="11"/>
      <color indexed="9"/>
      <name val="Comic Sans MS"/>
      <family val="4"/>
    </font>
    <font>
      <sz val="9"/>
      <color indexed="9"/>
      <name val="Comic Sans MS"/>
      <family val="4"/>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55"/>
        <bgColor indexed="64"/>
      </patternFill>
    </fill>
    <fill>
      <patternFill patternType="solid">
        <fgColor indexed="40"/>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double"/>
      <right style="hair"/>
      <top style="hair"/>
      <bottom style="hair"/>
    </border>
    <border>
      <left style="hair"/>
      <right style="hair"/>
      <top style="hair"/>
      <bottom style="double"/>
    </border>
    <border>
      <left style="hair"/>
      <right style="hair"/>
      <top style="hair"/>
      <bottom style="hair"/>
    </border>
    <border>
      <left>
        <color indexed="63"/>
      </left>
      <right style="double"/>
      <top style="hair"/>
      <bottom style="hair"/>
    </border>
    <border>
      <left>
        <color indexed="63"/>
      </left>
      <right style="thin"/>
      <top style="medium"/>
      <bottom style="medium"/>
    </border>
    <border>
      <left>
        <color indexed="63"/>
      </left>
      <right>
        <color indexed="63"/>
      </right>
      <top>
        <color indexed="63"/>
      </top>
      <bottom style="double"/>
    </border>
    <border>
      <left style="double"/>
      <right>
        <color indexed="63"/>
      </right>
      <top style="hair"/>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style="double"/>
    </border>
    <border>
      <left>
        <color indexed="63"/>
      </left>
      <right style="thin"/>
      <top style="thin"/>
      <bottom style="double"/>
    </border>
    <border>
      <left style="thin"/>
      <right>
        <color indexed="63"/>
      </right>
      <top style="medium"/>
      <bottom style="medium"/>
    </border>
    <border>
      <left style="double"/>
      <right style="hair"/>
      <top style="double"/>
      <bottom style="hair"/>
    </border>
    <border>
      <left style="hair"/>
      <right style="hair"/>
      <top style="double"/>
      <bottom style="hair"/>
    </border>
    <border>
      <left>
        <color indexed="63"/>
      </left>
      <right style="double"/>
      <top style="double"/>
      <bottom style="hair"/>
    </border>
    <border>
      <left style="double"/>
      <right style="hair"/>
      <top style="hair"/>
      <bottom style="double"/>
    </border>
    <border>
      <left>
        <color indexed="63"/>
      </left>
      <right style="double"/>
      <top style="hair"/>
      <bottom style="double"/>
    </border>
    <border>
      <left style="hair"/>
      <right>
        <color indexed="63"/>
      </right>
      <top style="hair"/>
      <bottom style="double"/>
    </border>
    <border>
      <left style="hair"/>
      <right style="double"/>
      <top style="hair"/>
      <bottom style="double"/>
    </border>
    <border>
      <left style="medium"/>
      <right style="thin"/>
      <top style="medium"/>
      <bottom style="thin"/>
    </border>
    <border>
      <left style="medium"/>
      <right style="thin"/>
      <top style="thin"/>
      <bottom style="medium"/>
    </border>
    <border>
      <left style="thin"/>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medium"/>
      <right style="medium"/>
      <top style="thin">
        <color indexed="55"/>
      </top>
      <bottom style="thin">
        <color indexed="55"/>
      </bottom>
    </border>
    <border>
      <left style="medium"/>
      <right style="medium"/>
      <top>
        <color indexed="63"/>
      </top>
      <bottom style="thin">
        <color indexed="55"/>
      </bottom>
    </border>
    <border>
      <left style="medium"/>
      <right style="medium"/>
      <top style="thin">
        <color indexed="55"/>
      </top>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style="medium"/>
    </border>
    <border>
      <left style="hair"/>
      <right>
        <color indexed="63"/>
      </right>
      <top style="double"/>
      <bottom style="hair"/>
    </border>
    <border>
      <left>
        <color indexed="63"/>
      </left>
      <right>
        <color indexed="63"/>
      </right>
      <top style="double"/>
      <bottom style="hair"/>
    </border>
    <border>
      <left style="hair"/>
      <right>
        <color indexed="63"/>
      </right>
      <top style="hair"/>
      <bottom style="hair"/>
    </border>
    <border>
      <left style="hair"/>
      <right style="double"/>
      <top style="hair"/>
      <bottom style="hair"/>
    </border>
    <border>
      <left>
        <color indexed="63"/>
      </left>
      <right>
        <color indexed="63"/>
      </right>
      <top style="hair"/>
      <bottom style="hair"/>
    </border>
    <border>
      <left>
        <color indexed="63"/>
      </left>
      <right style="hair"/>
      <top style="hair"/>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medium"/>
      <top style="hair"/>
      <bottom>
        <color indexed="63"/>
      </bottom>
    </border>
    <border>
      <left style="medium"/>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medium"/>
      <right style="thin"/>
      <top style="thin"/>
      <bottom style="thin"/>
    </border>
    <border>
      <left>
        <color indexed="63"/>
      </left>
      <right style="thin"/>
      <top>
        <color indexed="63"/>
      </top>
      <bottom style="hair"/>
    </border>
    <border>
      <left style="thin"/>
      <right style="thin"/>
      <top style="medium"/>
      <bottom style="hair"/>
    </border>
    <border>
      <left>
        <color indexed="63"/>
      </left>
      <right style="thin"/>
      <top style="hair"/>
      <bottom style="hair"/>
    </border>
    <border>
      <left style="medium"/>
      <right style="hair"/>
      <top style="hair"/>
      <bottom style="hair"/>
    </border>
    <border>
      <left style="medium"/>
      <right>
        <color indexed="63"/>
      </right>
      <top style="hair"/>
      <bottom style="hair"/>
    </border>
    <border>
      <left style="thin"/>
      <right style="thin"/>
      <top style="hair"/>
      <bottom>
        <color indexed="63"/>
      </bottom>
    </border>
    <border>
      <left style="thin"/>
      <right style="medium"/>
      <top style="medium"/>
      <bottom style="thin"/>
    </border>
    <border>
      <left style="medium"/>
      <right style="thin"/>
      <top>
        <color indexed="63"/>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45" fillId="10"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21" borderId="2" applyNumberFormat="0" applyAlignment="0" applyProtection="0"/>
    <xf numFmtId="0" fontId="75" fillId="0" borderId="3" applyNumberFormat="0" applyFill="0" applyAlignment="0" applyProtection="0"/>
    <xf numFmtId="0" fontId="76" fillId="0" borderId="4" applyNumberFormat="0" applyFill="0" applyAlignment="0" applyProtection="0"/>
    <xf numFmtId="0" fontId="77" fillId="0" borderId="0" applyNumberFormat="0" applyFill="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8" fillId="28" borderId="1" applyNumberFormat="0" applyAlignment="0" applyProtection="0"/>
    <xf numFmtId="195"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9"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4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80" fillId="30" borderId="0" applyNumberFormat="0" applyBorder="0" applyAlignment="0" applyProtection="0"/>
    <xf numFmtId="0" fontId="0" fillId="0" borderId="0">
      <alignment/>
      <protection/>
    </xf>
    <xf numFmtId="0" fontId="45"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1" fillId="20"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7" fillId="0" borderId="8" applyNumberFormat="0" applyFill="0" applyAlignment="0" applyProtection="0"/>
    <xf numFmtId="0" fontId="86" fillId="0" borderId="9" applyNumberFormat="0" applyFill="0" applyAlignment="0" applyProtection="0"/>
  </cellStyleXfs>
  <cellXfs count="1437">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82" fontId="6" fillId="0" borderId="10" xfId="75"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81" fontId="6" fillId="0" borderId="10" xfId="51"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81" fontId="6" fillId="0" borderId="10" xfId="51"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83" fontId="13" fillId="0" borderId="0" xfId="66" applyNumberFormat="1" applyFont="1" applyAlignment="1">
      <alignment/>
    </xf>
    <xf numFmtId="15" fontId="13" fillId="0" borderId="0" xfId="66" applyNumberFormat="1" applyFont="1" applyAlignment="1">
      <alignment/>
    </xf>
    <xf numFmtId="183" fontId="12" fillId="0" borderId="0" xfId="66" applyNumberFormat="1" applyFont="1" applyAlignment="1">
      <alignment/>
    </xf>
    <xf numFmtId="171" fontId="13" fillId="0" borderId="0" xfId="66" applyFont="1" applyAlignment="1">
      <alignment/>
    </xf>
    <xf numFmtId="171" fontId="13" fillId="0" borderId="0" xfId="0" applyNumberFormat="1" applyFont="1" applyAlignment="1">
      <alignment/>
    </xf>
    <xf numFmtId="184" fontId="13" fillId="0" borderId="0" xfId="0" applyNumberFormat="1" applyFont="1" applyAlignment="1">
      <alignment/>
    </xf>
    <xf numFmtId="183"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83" fontId="6" fillId="32" borderId="26" xfId="0" applyNumberFormat="1" applyFont="1" applyFill="1" applyBorder="1" applyAlignment="1">
      <alignment/>
    </xf>
    <xf numFmtId="183" fontId="6" fillId="32" borderId="27" xfId="0" applyNumberFormat="1" applyFont="1" applyFill="1" applyBorder="1" applyAlignment="1">
      <alignment horizontal="center"/>
    </xf>
    <xf numFmtId="183" fontId="6" fillId="32" borderId="25" xfId="0" applyNumberFormat="1" applyFont="1" applyFill="1" applyBorder="1" applyAlignment="1">
      <alignment horizontal="center"/>
    </xf>
    <xf numFmtId="183" fontId="6" fillId="32" borderId="19" xfId="0" applyNumberFormat="1" applyFont="1" applyFill="1" applyBorder="1" applyAlignment="1">
      <alignment/>
    </xf>
    <xf numFmtId="183" fontId="12" fillId="0" borderId="0" xfId="0" applyNumberFormat="1" applyFont="1" applyAlignment="1">
      <alignment/>
    </xf>
    <xf numFmtId="183" fontId="6" fillId="0" borderId="28" xfId="0" applyNumberFormat="1" applyFont="1" applyBorder="1" applyAlignment="1">
      <alignment/>
    </xf>
    <xf numFmtId="183" fontId="6" fillId="0" borderId="28" xfId="66" applyNumberFormat="1" applyFont="1" applyBorder="1" applyAlignment="1">
      <alignment/>
    </xf>
    <xf numFmtId="183" fontId="6" fillId="0" borderId="29" xfId="0" applyNumberFormat="1" applyFont="1" applyBorder="1" applyAlignment="1">
      <alignment/>
    </xf>
    <xf numFmtId="183" fontId="6" fillId="0" borderId="19" xfId="66" applyNumberFormat="1" applyFont="1" applyBorder="1" applyAlignment="1">
      <alignment/>
    </xf>
    <xf numFmtId="183" fontId="6" fillId="0" borderId="20" xfId="66" applyNumberFormat="1" applyFont="1" applyBorder="1" applyAlignment="1">
      <alignment/>
    </xf>
    <xf numFmtId="0" fontId="13" fillId="0" borderId="0" xfId="0" applyFont="1" applyAlignment="1">
      <alignment/>
    </xf>
    <xf numFmtId="183" fontId="5" fillId="32" borderId="25" xfId="66" applyNumberFormat="1" applyFont="1" applyFill="1" applyBorder="1" applyAlignment="1">
      <alignment horizontal="center"/>
    </xf>
    <xf numFmtId="183" fontId="6" fillId="32" borderId="27" xfId="66" applyNumberFormat="1" applyFont="1" applyFill="1" applyBorder="1" applyAlignment="1">
      <alignment horizontal="center"/>
    </xf>
    <xf numFmtId="183" fontId="6" fillId="32" borderId="25" xfId="66" applyNumberFormat="1" applyFont="1" applyFill="1" applyBorder="1" applyAlignment="1">
      <alignment horizontal="center"/>
    </xf>
    <xf numFmtId="183" fontId="6" fillId="0" borderId="26" xfId="66" applyNumberFormat="1" applyFont="1" applyBorder="1" applyAlignment="1">
      <alignment/>
    </xf>
    <xf numFmtId="183" fontId="6" fillId="0" borderId="26" xfId="0" applyNumberFormat="1" applyFont="1" applyBorder="1" applyAlignment="1">
      <alignment/>
    </xf>
    <xf numFmtId="183" fontId="6" fillId="0" borderId="25" xfId="0" applyNumberFormat="1" applyFont="1" applyBorder="1" applyAlignment="1">
      <alignment/>
    </xf>
    <xf numFmtId="183" fontId="6" fillId="0" borderId="19" xfId="0" applyNumberFormat="1" applyFont="1" applyBorder="1" applyAlignment="1">
      <alignment/>
    </xf>
    <xf numFmtId="183" fontId="6" fillId="0" borderId="30" xfId="0" applyNumberFormat="1" applyFont="1" applyBorder="1" applyAlignment="1">
      <alignment/>
    </xf>
    <xf numFmtId="183" fontId="6" fillId="0" borderId="20" xfId="0" applyNumberFormat="1" applyFont="1" applyBorder="1" applyAlignment="1">
      <alignment/>
    </xf>
    <xf numFmtId="183" fontId="6" fillId="0" borderId="23" xfId="0" applyNumberFormat="1" applyFont="1" applyBorder="1" applyAlignment="1">
      <alignment/>
    </xf>
    <xf numFmtId="183" fontId="5" fillId="32" borderId="31" xfId="66" applyNumberFormat="1" applyFont="1" applyFill="1" applyBorder="1" applyAlignment="1">
      <alignment horizontal="left"/>
    </xf>
    <xf numFmtId="183" fontId="5" fillId="32" borderId="32" xfId="66" applyNumberFormat="1" applyFont="1" applyFill="1" applyBorder="1" applyAlignment="1">
      <alignment/>
    </xf>
    <xf numFmtId="183" fontId="5" fillId="32" borderId="26" xfId="0" applyNumberFormat="1" applyFont="1" applyFill="1" applyBorder="1" applyAlignment="1">
      <alignment/>
    </xf>
    <xf numFmtId="183" fontId="5" fillId="32" borderId="25" xfId="0" applyNumberFormat="1" applyFont="1" applyFill="1" applyBorder="1" applyAlignment="1">
      <alignment/>
    </xf>
    <xf numFmtId="183" fontId="13" fillId="0" borderId="0" xfId="66" applyNumberFormat="1" applyFont="1" applyAlignment="1">
      <alignment/>
    </xf>
    <xf numFmtId="183" fontId="13" fillId="0" borderId="0" xfId="0" applyNumberFormat="1" applyFont="1" applyAlignment="1">
      <alignment/>
    </xf>
    <xf numFmtId="0" fontId="5" fillId="0" borderId="19" xfId="0" applyFont="1" applyBorder="1" applyAlignment="1">
      <alignment/>
    </xf>
    <xf numFmtId="183"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1" fontId="6" fillId="0" borderId="0" xfId="66"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71" fontId="5" fillId="0" borderId="22" xfId="66"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83" fontId="6" fillId="0" borderId="0" xfId="0" applyNumberFormat="1" applyFont="1" applyAlignment="1">
      <alignment/>
    </xf>
    <xf numFmtId="183" fontId="6" fillId="0" borderId="41" xfId="66" applyNumberFormat="1" applyFont="1" applyBorder="1" applyAlignment="1">
      <alignment horizontal="left"/>
    </xf>
    <xf numFmtId="183" fontId="6" fillId="0" borderId="42" xfId="66" applyNumberFormat="1" applyFont="1" applyBorder="1" applyAlignment="1">
      <alignment/>
    </xf>
    <xf numFmtId="9" fontId="6" fillId="0" borderId="43" xfId="66" applyNumberFormat="1" applyFont="1" applyBorder="1" applyAlignment="1">
      <alignment/>
    </xf>
    <xf numFmtId="15" fontId="5" fillId="0" borderId="10" xfId="66" applyNumberFormat="1" applyFont="1" applyBorder="1" applyAlignment="1">
      <alignment/>
    </xf>
    <xf numFmtId="183" fontId="6" fillId="0" borderId="10" xfId="66" applyNumberFormat="1" applyFont="1" applyBorder="1" applyAlignment="1">
      <alignment/>
    </xf>
    <xf numFmtId="183" fontId="6" fillId="0" borderId="41" xfId="0" applyNumberFormat="1" applyFont="1" applyBorder="1" applyAlignment="1">
      <alignment/>
    </xf>
    <xf numFmtId="183" fontId="6" fillId="0" borderId="43" xfId="0" applyNumberFormat="1" applyFont="1" applyBorder="1" applyAlignment="1">
      <alignment/>
    </xf>
    <xf numFmtId="183" fontId="6" fillId="0" borderId="10" xfId="0" applyNumberFormat="1" applyFont="1" applyBorder="1" applyAlignment="1">
      <alignment/>
    </xf>
    <xf numFmtId="183" fontId="6" fillId="0" borderId="44" xfId="0" applyNumberFormat="1" applyFont="1" applyBorder="1" applyAlignment="1">
      <alignment/>
    </xf>
    <xf numFmtId="183" fontId="5" fillId="0" borderId="45" xfId="66" applyNumberFormat="1" applyFont="1" applyBorder="1" applyAlignment="1">
      <alignment horizontal="left"/>
    </xf>
    <xf numFmtId="183" fontId="5" fillId="0" borderId="46" xfId="66" applyNumberFormat="1" applyFont="1" applyBorder="1" applyAlignment="1">
      <alignment/>
    </xf>
    <xf numFmtId="9" fontId="5" fillId="0" borderId="47" xfId="66" applyNumberFormat="1" applyFont="1" applyBorder="1" applyAlignment="1">
      <alignment/>
    </xf>
    <xf numFmtId="15" fontId="6" fillId="0" borderId="48" xfId="66" applyNumberFormat="1" applyFont="1" applyBorder="1" applyAlignment="1">
      <alignment/>
    </xf>
    <xf numFmtId="183" fontId="5" fillId="0" borderId="48" xfId="66" applyNumberFormat="1" applyFont="1" applyBorder="1" applyAlignment="1">
      <alignment/>
    </xf>
    <xf numFmtId="183" fontId="5" fillId="0" borderId="49" xfId="66" applyNumberFormat="1" applyFont="1" applyBorder="1" applyAlignment="1">
      <alignment/>
    </xf>
    <xf numFmtId="183" fontId="5" fillId="0" borderId="20" xfId="66" applyNumberFormat="1" applyFont="1" applyBorder="1" applyAlignment="1">
      <alignment/>
    </xf>
    <xf numFmtId="183" fontId="5" fillId="0" borderId="20" xfId="0" applyNumberFormat="1" applyFont="1" applyBorder="1" applyAlignment="1">
      <alignment/>
    </xf>
    <xf numFmtId="183" fontId="5" fillId="0" borderId="0" xfId="0" applyNumberFormat="1" applyFont="1" applyAlignment="1">
      <alignment/>
    </xf>
    <xf numFmtId="183" fontId="5" fillId="0" borderId="28" xfId="66" applyNumberFormat="1" applyFont="1" applyBorder="1" applyAlignment="1">
      <alignment horizontal="left"/>
    </xf>
    <xf numFmtId="183" fontId="6" fillId="0" borderId="50" xfId="66" applyNumberFormat="1" applyFont="1" applyBorder="1" applyAlignment="1">
      <alignment/>
    </xf>
    <xf numFmtId="9" fontId="6" fillId="0" borderId="51" xfId="66" applyNumberFormat="1" applyFont="1" applyBorder="1" applyAlignment="1">
      <alignment/>
    </xf>
    <xf numFmtId="15" fontId="6" fillId="0" borderId="17" xfId="66" applyNumberFormat="1" applyFont="1" applyBorder="1" applyAlignment="1">
      <alignment/>
    </xf>
    <xf numFmtId="183" fontId="6" fillId="0" borderId="17" xfId="66" applyNumberFormat="1" applyFont="1" applyBorder="1" applyAlignment="1">
      <alignment/>
    </xf>
    <xf numFmtId="183" fontId="6" fillId="0" borderId="52" xfId="66" applyNumberFormat="1" applyFont="1" applyBorder="1" applyAlignment="1">
      <alignment/>
    </xf>
    <xf numFmtId="183" fontId="6" fillId="0" borderId="44" xfId="66" applyNumberFormat="1" applyFont="1" applyBorder="1" applyAlignment="1">
      <alignment/>
    </xf>
    <xf numFmtId="183" fontId="5" fillId="0" borderId="53" xfId="66" applyNumberFormat="1" applyFont="1" applyBorder="1" applyAlignment="1">
      <alignment horizontal="left"/>
    </xf>
    <xf numFmtId="183" fontId="5" fillId="0" borderId="54" xfId="66" applyNumberFormat="1" applyFont="1" applyBorder="1" applyAlignment="1">
      <alignment/>
    </xf>
    <xf numFmtId="9" fontId="5" fillId="0" borderId="55" xfId="66" applyNumberFormat="1" applyFont="1" applyBorder="1" applyAlignment="1">
      <alignment/>
    </xf>
    <xf numFmtId="15" fontId="6" fillId="0" borderId="56" xfId="66" applyNumberFormat="1" applyFont="1" applyBorder="1" applyAlignment="1">
      <alignment/>
    </xf>
    <xf numFmtId="183" fontId="5" fillId="0" borderId="56" xfId="66" applyNumberFormat="1" applyFont="1" applyBorder="1" applyAlignment="1">
      <alignment/>
    </xf>
    <xf numFmtId="183" fontId="5" fillId="0" borderId="57" xfId="66" applyNumberFormat="1" applyFont="1" applyBorder="1" applyAlignment="1">
      <alignment/>
    </xf>
    <xf numFmtId="183" fontId="5" fillId="0" borderId="23" xfId="66" applyNumberFormat="1" applyFont="1" applyBorder="1" applyAlignment="1">
      <alignment/>
    </xf>
    <xf numFmtId="183" fontId="5" fillId="0" borderId="0" xfId="0" applyNumberFormat="1" applyFont="1" applyBorder="1" applyAlignment="1">
      <alignment/>
    </xf>
    <xf numFmtId="183" fontId="5" fillId="0" borderId="58" xfId="66" applyNumberFormat="1" applyFont="1" applyBorder="1" applyAlignment="1">
      <alignment horizontal="left"/>
    </xf>
    <xf numFmtId="183" fontId="6" fillId="0" borderId="59" xfId="66" applyNumberFormat="1" applyFont="1" applyBorder="1" applyAlignment="1">
      <alignment/>
    </xf>
    <xf numFmtId="9" fontId="6" fillId="0" borderId="60" xfId="66" applyNumberFormat="1" applyFont="1" applyBorder="1" applyAlignment="1">
      <alignment/>
    </xf>
    <xf numFmtId="15" fontId="6" fillId="0" borderId="61" xfId="66" applyNumberFormat="1" applyFont="1" applyBorder="1" applyAlignment="1">
      <alignment/>
    </xf>
    <xf numFmtId="183" fontId="6" fillId="0" borderId="61" xfId="66" applyNumberFormat="1" applyFont="1" applyBorder="1" applyAlignment="1">
      <alignment/>
    </xf>
    <xf numFmtId="183" fontId="6" fillId="0" borderId="62" xfId="66" applyNumberFormat="1" applyFont="1" applyBorder="1" applyAlignment="1">
      <alignment/>
    </xf>
    <xf numFmtId="15" fontId="6" fillId="0" borderId="10" xfId="66" applyNumberFormat="1" applyFont="1" applyBorder="1" applyAlignment="1">
      <alignment/>
    </xf>
    <xf numFmtId="183" fontId="6" fillId="0" borderId="53" xfId="66" applyNumberFormat="1" applyFont="1" applyBorder="1" applyAlignment="1">
      <alignment horizontal="left"/>
    </xf>
    <xf numFmtId="183" fontId="6" fillId="0" borderId="54" xfId="66" applyNumberFormat="1" applyFont="1" applyBorder="1" applyAlignment="1">
      <alignment/>
    </xf>
    <xf numFmtId="9" fontId="6" fillId="0" borderId="55" xfId="66" applyNumberFormat="1" applyFont="1" applyBorder="1" applyAlignment="1">
      <alignment/>
    </xf>
    <xf numFmtId="15" fontId="5" fillId="0" borderId="56" xfId="66" applyNumberFormat="1" applyFont="1" applyBorder="1" applyAlignment="1">
      <alignment/>
    </xf>
    <xf numFmtId="183" fontId="6" fillId="0" borderId="56" xfId="66" applyNumberFormat="1" applyFont="1" applyBorder="1" applyAlignment="1">
      <alignment/>
    </xf>
    <xf numFmtId="183" fontId="6" fillId="0" borderId="57" xfId="66" applyNumberFormat="1" applyFont="1" applyBorder="1" applyAlignment="1">
      <alignment/>
    </xf>
    <xf numFmtId="183" fontId="6" fillId="0" borderId="45" xfId="66" applyNumberFormat="1" applyFont="1" applyBorder="1" applyAlignment="1">
      <alignment horizontal="left"/>
    </xf>
    <xf numFmtId="183" fontId="6" fillId="0" borderId="46" xfId="66" applyNumberFormat="1" applyFont="1" applyBorder="1" applyAlignment="1">
      <alignment/>
    </xf>
    <xf numFmtId="9" fontId="6" fillId="0" borderId="47" xfId="66" applyNumberFormat="1" applyFont="1" applyBorder="1" applyAlignment="1">
      <alignment/>
    </xf>
    <xf numFmtId="15" fontId="5" fillId="0" borderId="48" xfId="66" applyNumberFormat="1" applyFont="1" applyBorder="1" applyAlignment="1">
      <alignment/>
    </xf>
    <xf numFmtId="183" fontId="6" fillId="0" borderId="48" xfId="66" applyNumberFormat="1" applyFont="1" applyBorder="1" applyAlignment="1">
      <alignment/>
    </xf>
    <xf numFmtId="183" fontId="6" fillId="0" borderId="49" xfId="66" applyNumberFormat="1" applyFont="1" applyBorder="1" applyAlignment="1">
      <alignment/>
    </xf>
    <xf numFmtId="183" fontId="6" fillId="0" borderId="45" xfId="0" applyNumberFormat="1" applyFont="1" applyBorder="1" applyAlignment="1">
      <alignment/>
    </xf>
    <xf numFmtId="183" fontId="5" fillId="0" borderId="20" xfId="66" applyNumberFormat="1" applyFont="1" applyBorder="1" applyAlignment="1">
      <alignment horizontal="left"/>
    </xf>
    <xf numFmtId="183" fontId="5" fillId="0" borderId="0" xfId="66" applyNumberFormat="1" applyFont="1" applyBorder="1" applyAlignment="1">
      <alignment/>
    </xf>
    <xf numFmtId="183" fontId="5" fillId="0" borderId="39" xfId="66" applyNumberFormat="1" applyFont="1" applyBorder="1" applyAlignment="1">
      <alignment/>
    </xf>
    <xf numFmtId="15" fontId="6" fillId="0" borderId="40" xfId="66" applyNumberFormat="1" applyFont="1" applyBorder="1" applyAlignment="1">
      <alignment/>
    </xf>
    <xf numFmtId="183" fontId="5" fillId="0" borderId="40" xfId="66" applyNumberFormat="1" applyFont="1" applyBorder="1" applyAlignment="1">
      <alignment/>
    </xf>
    <xf numFmtId="183" fontId="5" fillId="0" borderId="63" xfId="66" applyNumberFormat="1" applyFont="1" applyBorder="1" applyAlignment="1">
      <alignment/>
    </xf>
    <xf numFmtId="183" fontId="5" fillId="0" borderId="26" xfId="66" applyNumberFormat="1" applyFont="1" applyBorder="1" applyAlignment="1">
      <alignment/>
    </xf>
    <xf numFmtId="183" fontId="5" fillId="0" borderId="32" xfId="66" applyNumberFormat="1" applyFont="1" applyBorder="1" applyAlignment="1">
      <alignment/>
    </xf>
    <xf numFmtId="0" fontId="5" fillId="0" borderId="24" xfId="0" applyFont="1" applyBorder="1" applyAlignment="1">
      <alignment/>
    </xf>
    <xf numFmtId="183" fontId="5" fillId="0" borderId="25" xfId="66" applyNumberFormat="1" applyFont="1" applyBorder="1" applyAlignment="1">
      <alignment/>
    </xf>
    <xf numFmtId="183" fontId="5" fillId="0" borderId="27" xfId="66" applyNumberFormat="1" applyFont="1" applyBorder="1" applyAlignment="1">
      <alignment/>
    </xf>
    <xf numFmtId="15" fontId="5" fillId="0" borderId="27" xfId="66" applyNumberFormat="1" applyFont="1" applyBorder="1" applyAlignment="1">
      <alignment/>
    </xf>
    <xf numFmtId="183" fontId="5" fillId="0" borderId="64" xfId="66" applyNumberFormat="1" applyFont="1" applyBorder="1" applyAlignment="1">
      <alignment/>
    </xf>
    <xf numFmtId="183" fontId="5" fillId="0" borderId="26" xfId="0" applyNumberFormat="1" applyFont="1" applyBorder="1" applyAlignment="1">
      <alignment/>
    </xf>
    <xf numFmtId="0" fontId="15" fillId="0" borderId="0" xfId="0" applyFont="1" applyAlignment="1">
      <alignment/>
    </xf>
    <xf numFmtId="183" fontId="15" fillId="0" borderId="0" xfId="67" applyNumberFormat="1" applyFont="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83" fontId="6" fillId="0" borderId="23" xfId="66" applyNumberFormat="1" applyFont="1" applyFill="1" applyBorder="1" applyAlignment="1">
      <alignment horizontal="left"/>
    </xf>
    <xf numFmtId="183" fontId="6" fillId="0" borderId="24" xfId="66"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83" fontId="6" fillId="0" borderId="66" xfId="66" applyNumberFormat="1" applyFont="1" applyFill="1" applyBorder="1" applyAlignment="1">
      <alignment/>
    </xf>
    <xf numFmtId="183" fontId="6" fillId="0" borderId="36" xfId="66" applyNumberFormat="1" applyFont="1" applyFill="1" applyBorder="1" applyAlignment="1">
      <alignment/>
    </xf>
    <xf numFmtId="183" fontId="6" fillId="0" borderId="38" xfId="66" applyNumberFormat="1" applyFont="1" applyFill="1" applyBorder="1" applyAlignment="1">
      <alignment/>
    </xf>
    <xf numFmtId="183" fontId="6" fillId="0" borderId="64" xfId="66" applyNumberFormat="1" applyFont="1" applyFill="1" applyBorder="1" applyAlignment="1">
      <alignment/>
    </xf>
    <xf numFmtId="183" fontId="6" fillId="0" borderId="0" xfId="66" applyNumberFormat="1" applyFont="1" applyFill="1" applyBorder="1" applyAlignment="1">
      <alignment/>
    </xf>
    <xf numFmtId="183" fontId="5" fillId="32" borderId="64" xfId="66" applyNumberFormat="1" applyFont="1" applyFill="1" applyBorder="1" applyAlignment="1">
      <alignment/>
    </xf>
    <xf numFmtId="3" fontId="6" fillId="0" borderId="66" xfId="0" applyNumberFormat="1" applyFont="1" applyFill="1" applyBorder="1" applyAlignment="1">
      <alignment horizontal="right"/>
    </xf>
    <xf numFmtId="3" fontId="6" fillId="0" borderId="66" xfId="66" applyNumberFormat="1" applyFont="1" applyFill="1" applyBorder="1" applyAlignment="1">
      <alignment horizontal="right"/>
    </xf>
    <xf numFmtId="3" fontId="6" fillId="0" borderId="66" xfId="51" applyNumberFormat="1" applyFont="1" applyFill="1" applyBorder="1" applyAlignment="1">
      <alignment horizontal="right"/>
    </xf>
    <xf numFmtId="183" fontId="6" fillId="32" borderId="27" xfId="0" applyNumberFormat="1" applyFont="1" applyFill="1" applyBorder="1" applyAlignment="1">
      <alignment/>
    </xf>
    <xf numFmtId="183" fontId="6" fillId="0" borderId="19" xfId="66" applyNumberFormat="1" applyFont="1" applyFill="1" applyBorder="1" applyAlignment="1">
      <alignment/>
    </xf>
    <xf numFmtId="183" fontId="6" fillId="0" borderId="20" xfId="66" applyNumberFormat="1" applyFont="1" applyFill="1" applyBorder="1" applyAlignment="1">
      <alignment/>
    </xf>
    <xf numFmtId="183" fontId="6" fillId="0" borderId="67" xfId="66"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83" fontId="6" fillId="0" borderId="70" xfId="66" applyNumberFormat="1" applyFont="1" applyFill="1" applyBorder="1" applyAlignment="1">
      <alignment horizontal="left"/>
    </xf>
    <xf numFmtId="183" fontId="6" fillId="0" borderId="69" xfId="66" applyNumberFormat="1" applyFont="1" applyFill="1" applyBorder="1" applyAlignment="1">
      <alignment horizontal="left"/>
    </xf>
    <xf numFmtId="183" fontId="6" fillId="0" borderId="68" xfId="66" applyNumberFormat="1" applyFont="1" applyFill="1" applyBorder="1" applyAlignment="1">
      <alignment horizontal="left"/>
    </xf>
    <xf numFmtId="183" fontId="6" fillId="0" borderId="71" xfId="66" applyNumberFormat="1" applyFont="1" applyFill="1" applyBorder="1" applyAlignment="1">
      <alignment horizontal="left"/>
    </xf>
    <xf numFmtId="183" fontId="6" fillId="0" borderId="25" xfId="66"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83" fontId="6" fillId="0" borderId="41" xfId="66" applyNumberFormat="1" applyFont="1" applyFill="1" applyBorder="1" applyAlignment="1">
      <alignment/>
    </xf>
    <xf numFmtId="183" fontId="6" fillId="0" borderId="72" xfId="66" applyNumberFormat="1" applyFont="1" applyFill="1" applyBorder="1" applyAlignment="1">
      <alignment/>
    </xf>
    <xf numFmtId="183" fontId="6" fillId="0" borderId="53" xfId="66" applyNumberFormat="1" applyFont="1" applyFill="1" applyBorder="1" applyAlignment="1">
      <alignment/>
    </xf>
    <xf numFmtId="183" fontId="6" fillId="0" borderId="58" xfId="66" applyNumberFormat="1" applyFont="1" applyFill="1" applyBorder="1" applyAlignment="1">
      <alignment/>
    </xf>
    <xf numFmtId="183" fontId="6" fillId="0" borderId="45" xfId="66" applyNumberFormat="1" applyFont="1" applyFill="1" applyBorder="1" applyAlignment="1">
      <alignment/>
    </xf>
    <xf numFmtId="183" fontId="6" fillId="0" borderId="26" xfId="66" applyNumberFormat="1" applyFont="1" applyFill="1" applyBorder="1" applyAlignment="1">
      <alignment/>
    </xf>
    <xf numFmtId="3" fontId="6" fillId="32" borderId="26" xfId="0" applyNumberFormat="1" applyFont="1" applyFill="1" applyBorder="1" applyAlignment="1">
      <alignment/>
    </xf>
    <xf numFmtId="183" fontId="6" fillId="32" borderId="64" xfId="0" applyNumberFormat="1" applyFont="1" applyFill="1" applyBorder="1" applyAlignment="1">
      <alignment/>
    </xf>
    <xf numFmtId="3" fontId="6" fillId="0" borderId="29" xfId="0" applyNumberFormat="1" applyFont="1" applyBorder="1" applyAlignment="1">
      <alignment/>
    </xf>
    <xf numFmtId="186" fontId="5" fillId="0" borderId="20" xfId="0" applyNumberFormat="1" applyFont="1" applyBorder="1" applyAlignment="1">
      <alignment horizontal="center"/>
    </xf>
    <xf numFmtId="183" fontId="6" fillId="0" borderId="30" xfId="66" applyNumberFormat="1" applyFont="1" applyBorder="1" applyAlignment="1">
      <alignment/>
    </xf>
    <xf numFmtId="183" fontId="6" fillId="0" borderId="29" xfId="66" applyNumberFormat="1" applyFont="1" applyBorder="1" applyAlignment="1">
      <alignment/>
    </xf>
    <xf numFmtId="183" fontId="6" fillId="0" borderId="23" xfId="66" applyNumberFormat="1" applyFont="1" applyBorder="1" applyAlignment="1">
      <alignment/>
    </xf>
    <xf numFmtId="183" fontId="12" fillId="0" borderId="0" xfId="66" applyNumberFormat="1" applyFont="1" applyAlignment="1">
      <alignment/>
    </xf>
    <xf numFmtId="0" fontId="20" fillId="0" borderId="73" xfId="0" applyFont="1" applyBorder="1" applyAlignment="1">
      <alignment/>
    </xf>
    <xf numFmtId="0" fontId="20"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9" fontId="1" fillId="0" borderId="0" xfId="51"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81" fontId="6" fillId="0" borderId="10" xfId="51" applyNumberFormat="1" applyFont="1" applyFill="1" applyBorder="1" applyAlignment="1" applyProtection="1">
      <alignment/>
      <protection locked="0"/>
    </xf>
    <xf numFmtId="181" fontId="5" fillId="0" borderId="10" xfId="51"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20" fillId="0" borderId="0" xfId="0" applyNumberFormat="1" applyFont="1" applyAlignment="1" applyProtection="1">
      <alignment horizontal="centerContinuous"/>
      <protection/>
    </xf>
    <xf numFmtId="0" fontId="20"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20" fillId="0" borderId="0" xfId="0" applyNumberFormat="1" applyFont="1" applyAlignment="1" applyProtection="1">
      <alignment horizontal="centerContinuous" vertical="top"/>
      <protection/>
    </xf>
    <xf numFmtId="0" fontId="20"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20"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82" fontId="20" fillId="0" borderId="77" xfId="75"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81" fontId="6" fillId="0" borderId="10" xfId="51" applyNumberFormat="1" applyFont="1" applyFill="1" applyBorder="1" applyAlignment="1" applyProtection="1">
      <alignment/>
      <protection/>
    </xf>
    <xf numFmtId="181" fontId="5" fillId="0" borderId="10" xfId="51"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81" fontId="6" fillId="0" borderId="10" xfId="51" applyNumberFormat="1" applyFont="1" applyFill="1" applyBorder="1" applyAlignment="1" applyProtection="1">
      <alignment horizontal="left"/>
      <protection/>
    </xf>
    <xf numFmtId="181" fontId="6" fillId="0" borderId="0" xfId="51"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9" fontId="5" fillId="0" borderId="10" xfId="51"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9" fontId="6" fillId="0" borderId="0" xfId="51"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82" fontId="6" fillId="0" borderId="10" xfId="75" applyNumberFormat="1" applyFont="1" applyFill="1" applyBorder="1" applyAlignment="1">
      <alignment/>
    </xf>
    <xf numFmtId="182" fontId="5" fillId="0" borderId="10" xfId="75"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20"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82" fontId="7" fillId="0" borderId="83" xfId="75" applyNumberFormat="1" applyFont="1" applyBorder="1" applyAlignment="1" applyProtection="1">
      <alignment/>
      <protection/>
    </xf>
    <xf numFmtId="3" fontId="11" fillId="0" borderId="0" xfId="0" applyNumberFormat="1" applyFont="1" applyAlignment="1" applyProtection="1">
      <alignment/>
      <protection/>
    </xf>
    <xf numFmtId="0" fontId="20" fillId="0" borderId="73" xfId="0" applyFont="1" applyBorder="1" applyAlignment="1" applyProtection="1">
      <alignment/>
      <protection/>
    </xf>
    <xf numFmtId="3" fontId="20" fillId="0" borderId="84" xfId="0" applyNumberFormat="1" applyFont="1" applyBorder="1" applyAlignment="1" applyProtection="1">
      <alignment/>
      <protection/>
    </xf>
    <xf numFmtId="182" fontId="20" fillId="0" borderId="77" xfId="75" applyNumberFormat="1" applyFont="1" applyBorder="1" applyAlignment="1" applyProtection="1">
      <alignment/>
      <protection/>
    </xf>
    <xf numFmtId="0" fontId="20"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82" fontId="7" fillId="0" borderId="77" xfId="75"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51" applyNumberFormat="1" applyFont="1" applyBorder="1" applyAlignment="1" applyProtection="1">
      <alignment/>
      <protection/>
    </xf>
    <xf numFmtId="37" fontId="20" fillId="0" borderId="73" xfId="0" applyNumberFormat="1" applyFont="1" applyBorder="1" applyAlignment="1" applyProtection="1">
      <alignment/>
      <protection/>
    </xf>
    <xf numFmtId="37" fontId="20" fillId="0" borderId="84" xfId="51" applyNumberFormat="1" applyFont="1" applyFill="1" applyBorder="1" applyAlignment="1" applyProtection="1">
      <alignment/>
      <protection/>
    </xf>
    <xf numFmtId="37" fontId="7" fillId="0" borderId="84" xfId="51" applyNumberFormat="1" applyFont="1" applyFill="1" applyBorder="1" applyAlignment="1" applyProtection="1">
      <alignment/>
      <protection/>
    </xf>
    <xf numFmtId="37" fontId="20" fillId="0" borderId="84" xfId="51" applyNumberFormat="1" applyFont="1" applyBorder="1" applyAlignment="1" applyProtection="1">
      <alignment/>
      <protection/>
    </xf>
    <xf numFmtId="3" fontId="20" fillId="0" borderId="84" xfId="0" applyNumberFormat="1" applyFont="1" applyFill="1" applyBorder="1" applyAlignment="1" applyProtection="1">
      <alignment/>
      <protection/>
    </xf>
    <xf numFmtId="182" fontId="20" fillId="0" borderId="77" xfId="75" applyNumberFormat="1" applyFont="1" applyFill="1" applyBorder="1" applyAlignment="1" applyProtection="1">
      <alignment/>
      <protection/>
    </xf>
    <xf numFmtId="0" fontId="20" fillId="0" borderId="85" xfId="0" applyFont="1" applyBorder="1" applyAlignment="1" applyProtection="1">
      <alignment/>
      <protection/>
    </xf>
    <xf numFmtId="3" fontId="20" fillId="0" borderId="21" xfId="0" applyNumberFormat="1" applyFont="1" applyBorder="1" applyAlignment="1" applyProtection="1">
      <alignment/>
      <protection/>
    </xf>
    <xf numFmtId="0" fontId="20"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82" fontId="7" fillId="33" borderId="86" xfId="75" applyNumberFormat="1" applyFont="1" applyFill="1" applyBorder="1" applyAlignment="1" applyProtection="1">
      <alignment/>
      <protection/>
    </xf>
    <xf numFmtId="0" fontId="20" fillId="0" borderId="87" xfId="0" applyFont="1" applyBorder="1" applyAlignment="1" applyProtection="1">
      <alignment/>
      <protection/>
    </xf>
    <xf numFmtId="3" fontId="20" fillId="0" borderId="56" xfId="0" applyNumberFormat="1" applyFont="1" applyBorder="1" applyAlignment="1" applyProtection="1">
      <alignment/>
      <protection/>
    </xf>
    <xf numFmtId="0" fontId="20" fillId="0" borderId="88" xfId="0" applyFont="1" applyBorder="1" applyAlignment="1" applyProtection="1">
      <alignment/>
      <protection/>
    </xf>
    <xf numFmtId="0" fontId="20" fillId="0" borderId="74" xfId="0" applyFont="1" applyBorder="1" applyAlignment="1" applyProtection="1">
      <alignment/>
      <protection/>
    </xf>
    <xf numFmtId="3" fontId="20" fillId="0" borderId="40" xfId="0" applyNumberFormat="1" applyFont="1" applyBorder="1" applyAlignment="1" applyProtection="1">
      <alignment/>
      <protection/>
    </xf>
    <xf numFmtId="37" fontId="20" fillId="0" borderId="40" xfId="51" applyNumberFormat="1" applyFont="1" applyBorder="1" applyAlignment="1" applyProtection="1">
      <alignment/>
      <protection/>
    </xf>
    <xf numFmtId="182" fontId="20" fillId="0" borderId="89" xfId="75"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82" fontId="7" fillId="33" borderId="32" xfId="75"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9" fillId="0" borderId="0" xfId="0" applyFont="1" applyAlignment="1" applyProtection="1">
      <alignment/>
      <protection/>
    </xf>
    <xf numFmtId="3" fontId="19"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20" fillId="0" borderId="91" xfId="0" applyFont="1" applyBorder="1" applyAlignment="1" applyProtection="1">
      <alignment/>
      <protection/>
    </xf>
    <xf numFmtId="3" fontId="20" fillId="0" borderId="92" xfId="0" applyNumberFormat="1" applyFont="1" applyBorder="1" applyAlignment="1" applyProtection="1">
      <alignment/>
      <protection/>
    </xf>
    <xf numFmtId="37" fontId="20" fillId="0" borderId="92" xfId="51" applyNumberFormat="1" applyFont="1" applyBorder="1" applyAlignment="1" applyProtection="1">
      <alignment/>
      <protection/>
    </xf>
    <xf numFmtId="182" fontId="20" fillId="0" borderId="93" xfId="75" applyNumberFormat="1" applyFont="1" applyBorder="1" applyAlignment="1" applyProtection="1">
      <alignment/>
      <protection/>
    </xf>
    <xf numFmtId="0" fontId="20" fillId="0" borderId="94" xfId="0" applyFont="1" applyBorder="1" applyAlignment="1" applyProtection="1">
      <alignment/>
      <protection/>
    </xf>
    <xf numFmtId="3" fontId="20" fillId="0" borderId="95" xfId="0" applyNumberFormat="1" applyFont="1" applyBorder="1" applyAlignment="1" applyProtection="1">
      <alignment/>
      <protection/>
    </xf>
    <xf numFmtId="0" fontId="20" fillId="0" borderId="96" xfId="0" applyFont="1" applyBorder="1" applyAlignment="1" applyProtection="1">
      <alignment/>
      <protection/>
    </xf>
    <xf numFmtId="9" fontId="5" fillId="0" borderId="20" xfId="0" applyNumberFormat="1" applyFont="1" applyBorder="1" applyAlignment="1">
      <alignment horizontal="center"/>
    </xf>
    <xf numFmtId="37" fontId="20" fillId="0" borderId="10" xfId="0" applyNumberFormat="1" applyFont="1" applyFill="1" applyBorder="1" applyAlignment="1">
      <alignment vertical="top" wrapText="1"/>
    </xf>
    <xf numFmtId="0" fontId="0" fillId="0" borderId="0" xfId="0" applyFill="1" applyAlignment="1">
      <alignment/>
    </xf>
    <xf numFmtId="3" fontId="15" fillId="0" borderId="0" xfId="0" applyNumberFormat="1" applyFont="1" applyAlignment="1">
      <alignment/>
    </xf>
    <xf numFmtId="0" fontId="1" fillId="0" borderId="0" xfId="0" applyFont="1" applyFill="1" applyAlignment="1">
      <alignment/>
    </xf>
    <xf numFmtId="0" fontId="21" fillId="0" borderId="0" xfId="0" applyFont="1" applyAlignment="1">
      <alignment/>
    </xf>
    <xf numFmtId="181" fontId="15" fillId="0" borderId="0" xfId="0" applyNumberFormat="1" applyFont="1" applyAlignment="1">
      <alignment/>
    </xf>
    <xf numFmtId="0" fontId="21" fillId="0" borderId="0" xfId="0" applyFont="1" applyFill="1" applyAlignment="1">
      <alignment/>
    </xf>
    <xf numFmtId="0" fontId="23" fillId="0" borderId="0" xfId="0" applyFont="1" applyAlignment="1">
      <alignment/>
    </xf>
    <xf numFmtId="0" fontId="24" fillId="0" borderId="0" xfId="0" applyFont="1" applyAlignment="1">
      <alignment/>
    </xf>
    <xf numFmtId="3" fontId="25" fillId="0" borderId="0" xfId="0" applyNumberFormat="1" applyFont="1" applyAlignment="1">
      <alignment/>
    </xf>
    <xf numFmtId="0" fontId="25" fillId="0" borderId="0" xfId="0" applyFont="1" applyAlignment="1">
      <alignment/>
    </xf>
    <xf numFmtId="0" fontId="21" fillId="0" borderId="0" xfId="0" applyFont="1" applyFill="1" applyBorder="1" applyAlignment="1">
      <alignment/>
    </xf>
    <xf numFmtId="3" fontId="22" fillId="0" borderId="0" xfId="0" applyNumberFormat="1" applyFont="1" applyFill="1" applyBorder="1" applyAlignment="1">
      <alignment/>
    </xf>
    <xf numFmtId="0" fontId="3" fillId="0" borderId="0" xfId="0" applyFont="1" applyBorder="1" applyAlignment="1">
      <alignment/>
    </xf>
    <xf numFmtId="0" fontId="0" fillId="0" borderId="0" xfId="0" applyFont="1" applyFill="1" applyAlignment="1">
      <alignment horizontal="right"/>
    </xf>
    <xf numFmtId="0" fontId="4" fillId="0" borderId="0" xfId="0" applyFont="1" applyFill="1" applyAlignment="1">
      <alignment/>
    </xf>
    <xf numFmtId="183" fontId="4" fillId="0" borderId="0" xfId="67" applyNumberFormat="1" applyFont="1" applyFill="1" applyAlignment="1">
      <alignment/>
    </xf>
    <xf numFmtId="4" fontId="4" fillId="0" borderId="0" xfId="0" applyNumberFormat="1" applyFont="1" applyFill="1" applyAlignment="1">
      <alignment/>
    </xf>
    <xf numFmtId="181" fontId="4" fillId="0" borderId="0" xfId="0" applyNumberFormat="1" applyFont="1" applyFill="1" applyAlignment="1">
      <alignment/>
    </xf>
    <xf numFmtId="182" fontId="4" fillId="0" borderId="0" xfId="75" applyNumberFormat="1" applyFont="1" applyFill="1" applyAlignment="1">
      <alignment/>
    </xf>
    <xf numFmtId="171" fontId="29" fillId="0" borderId="0" xfId="0" applyNumberFormat="1" applyFont="1" applyFill="1" applyAlignment="1">
      <alignment/>
    </xf>
    <xf numFmtId="183" fontId="28" fillId="0" borderId="0" xfId="0" applyNumberFormat="1" applyFont="1" applyFill="1" applyAlignment="1">
      <alignment/>
    </xf>
    <xf numFmtId="185" fontId="28" fillId="0" borderId="0" xfId="0" applyNumberFormat="1" applyFont="1" applyFill="1" applyAlignment="1">
      <alignment/>
    </xf>
    <xf numFmtId="178" fontId="4" fillId="0" borderId="0" xfId="68" applyFont="1" applyFill="1" applyAlignment="1">
      <alignment/>
    </xf>
    <xf numFmtId="183" fontId="30" fillId="0" borderId="0" xfId="67" applyNumberFormat="1" applyFont="1" applyFill="1" applyAlignment="1">
      <alignment/>
    </xf>
    <xf numFmtId="0" fontId="30" fillId="0" borderId="0" xfId="0" applyFont="1" applyFill="1" applyAlignment="1">
      <alignment/>
    </xf>
    <xf numFmtId="0" fontId="31" fillId="0" borderId="0" xfId="0" applyFont="1" applyFill="1" applyAlignment="1">
      <alignment horizontal="right"/>
    </xf>
    <xf numFmtId="0" fontId="31" fillId="0" borderId="0" xfId="0" applyFont="1" applyAlignment="1">
      <alignment horizontal="right"/>
    </xf>
    <xf numFmtId="0" fontId="0" fillId="0" borderId="0" xfId="0" applyFont="1" applyAlignment="1">
      <alignment/>
    </xf>
    <xf numFmtId="181" fontId="3" fillId="32" borderId="10" xfId="0" applyNumberFormat="1" applyFont="1" applyFill="1" applyBorder="1" applyAlignment="1">
      <alignment/>
    </xf>
    <xf numFmtId="181" fontId="0" fillId="0" borderId="10" xfId="51" applyNumberFormat="1" applyFont="1" applyFill="1" applyBorder="1" applyAlignment="1">
      <alignment/>
    </xf>
    <xf numFmtId="181" fontId="0" fillId="0" borderId="10" xfId="0" applyNumberFormat="1" applyFont="1" applyFill="1" applyBorder="1" applyAlignment="1">
      <alignment/>
    </xf>
    <xf numFmtId="179" fontId="4" fillId="0" borderId="0" xfId="51" applyFont="1" applyFill="1" applyAlignment="1">
      <alignment/>
    </xf>
    <xf numFmtId="3" fontId="28" fillId="0" borderId="97" xfId="0" applyNumberFormat="1" applyFont="1" applyFill="1" applyBorder="1" applyAlignment="1">
      <alignment/>
    </xf>
    <xf numFmtId="3" fontId="28" fillId="0" borderId="98" xfId="0" applyNumberFormat="1" applyFont="1" applyFill="1" applyBorder="1" applyAlignment="1">
      <alignment/>
    </xf>
    <xf numFmtId="0" fontId="20" fillId="0" borderId="0" xfId="0" applyFont="1" applyAlignment="1">
      <alignment/>
    </xf>
    <xf numFmtId="15" fontId="20" fillId="0" borderId="0" xfId="0" applyNumberFormat="1" applyFont="1" applyAlignment="1">
      <alignment/>
    </xf>
    <xf numFmtId="0" fontId="4" fillId="0" borderId="99" xfId="0" applyFont="1" applyFill="1" applyBorder="1" applyAlignment="1">
      <alignment/>
    </xf>
    <xf numFmtId="3" fontId="28" fillId="0" borderId="99" xfId="0" applyNumberFormat="1" applyFont="1" applyFill="1" applyBorder="1" applyAlignment="1">
      <alignment/>
    </xf>
    <xf numFmtId="3" fontId="4" fillId="0" borderId="97" xfId="0" applyNumberFormat="1" applyFont="1" applyFill="1" applyBorder="1" applyAlignment="1">
      <alignment/>
    </xf>
    <xf numFmtId="3" fontId="4" fillId="0" borderId="99" xfId="0" applyNumberFormat="1" applyFont="1" applyFill="1" applyBorder="1" applyAlignment="1">
      <alignment/>
    </xf>
    <xf numFmtId="3" fontId="4" fillId="0" borderId="99" xfId="0" applyNumberFormat="1" applyFont="1" applyFill="1" applyBorder="1" applyAlignment="1">
      <alignment/>
    </xf>
    <xf numFmtId="0" fontId="4" fillId="0" borderId="97" xfId="0" applyFont="1" applyFill="1" applyBorder="1" applyAlignment="1">
      <alignment/>
    </xf>
    <xf numFmtId="37" fontId="28" fillId="0" borderId="97" xfId="0" applyNumberFormat="1" applyFont="1" applyFill="1" applyBorder="1" applyAlignment="1">
      <alignment/>
    </xf>
    <xf numFmtId="0" fontId="28" fillId="0" borderId="99" xfId="0" applyFont="1" applyFill="1" applyBorder="1" applyAlignment="1">
      <alignment/>
    </xf>
    <xf numFmtId="0" fontId="4" fillId="0" borderId="97" xfId="0" applyFont="1" applyFill="1" applyBorder="1" applyAlignment="1">
      <alignment horizontal="left" indent="1"/>
    </xf>
    <xf numFmtId="3" fontId="28" fillId="0" borderId="99" xfId="0" applyNumberFormat="1" applyFont="1" applyFill="1" applyBorder="1" applyAlignment="1">
      <alignment/>
    </xf>
    <xf numFmtId="0" fontId="28" fillId="0" borderId="99" xfId="0" applyFont="1" applyFill="1" applyBorder="1" applyAlignment="1">
      <alignment/>
    </xf>
    <xf numFmtId="0" fontId="4" fillId="0" borderId="99" xfId="0" applyFont="1" applyFill="1" applyBorder="1" applyAlignment="1">
      <alignment/>
    </xf>
    <xf numFmtId="0" fontId="28" fillId="0" borderId="97" xfId="0" applyFont="1" applyFill="1" applyBorder="1" applyAlignment="1">
      <alignment/>
    </xf>
    <xf numFmtId="181" fontId="28" fillId="0" borderId="99" xfId="51" applyNumberFormat="1" applyFont="1" applyFill="1" applyBorder="1" applyAlignment="1">
      <alignment/>
    </xf>
    <xf numFmtId="183" fontId="25" fillId="0" borderId="0" xfId="0" applyNumberFormat="1" applyFont="1" applyAlignment="1">
      <alignment/>
    </xf>
    <xf numFmtId="0" fontId="0" fillId="0" borderId="0" xfId="0" applyFill="1" applyBorder="1" applyAlignment="1">
      <alignment/>
    </xf>
    <xf numFmtId="181" fontId="25" fillId="0" borderId="0" xfId="0" applyNumberFormat="1" applyFont="1" applyAlignment="1">
      <alignment/>
    </xf>
    <xf numFmtId="178" fontId="28" fillId="0" borderId="0" xfId="68" applyFont="1" applyFill="1" applyAlignment="1">
      <alignment/>
    </xf>
    <xf numFmtId="0" fontId="0" fillId="0" borderId="0" xfId="0" applyFont="1" applyFill="1" applyAlignment="1">
      <alignment/>
    </xf>
    <xf numFmtId="0" fontId="28" fillId="0" borderId="0" xfId="0" applyFont="1" applyFill="1" applyBorder="1" applyAlignment="1">
      <alignment horizontal="center"/>
    </xf>
    <xf numFmtId="10" fontId="28" fillId="0" borderId="100" xfId="75" applyNumberFormat="1" applyFont="1" applyFill="1" applyBorder="1" applyAlignment="1">
      <alignment/>
    </xf>
    <xf numFmtId="3" fontId="28" fillId="0" borderId="97" xfId="0" applyNumberFormat="1" applyFont="1" applyFill="1" applyBorder="1" applyAlignment="1">
      <alignment/>
    </xf>
    <xf numFmtId="0" fontId="4" fillId="0" borderId="0" xfId="0" applyFont="1" applyFill="1" applyAlignment="1">
      <alignment/>
    </xf>
    <xf numFmtId="183" fontId="4" fillId="0" borderId="0" xfId="67" applyNumberFormat="1" applyFont="1" applyFill="1" applyAlignment="1">
      <alignment/>
    </xf>
    <xf numFmtId="0" fontId="28" fillId="0" borderId="0" xfId="0" applyFont="1" applyFill="1" applyAlignment="1">
      <alignment horizontal="centerContinuous"/>
    </xf>
    <xf numFmtId="183" fontId="4" fillId="0" borderId="0" xfId="67" applyNumberFormat="1" applyFont="1" applyFill="1" applyAlignment="1">
      <alignment horizontal="centerContinuous"/>
    </xf>
    <xf numFmtId="0" fontId="4" fillId="0" borderId="0" xfId="0" applyFont="1" applyFill="1" applyAlignment="1">
      <alignment horizontal="centerContinuous"/>
    </xf>
    <xf numFmtId="183" fontId="15" fillId="0" borderId="0" xfId="0" applyNumberFormat="1" applyFont="1" applyAlignment="1">
      <alignment/>
    </xf>
    <xf numFmtId="0" fontId="0" fillId="0" borderId="0" xfId="0" applyFont="1" applyAlignment="1">
      <alignment/>
    </xf>
    <xf numFmtId="0" fontId="35"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wrapText="1"/>
    </xf>
    <xf numFmtId="9" fontId="3" fillId="0" borderId="0"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0" fontId="3" fillId="0" borderId="0" xfId="0" applyFont="1" applyFill="1" applyBorder="1" applyAlignment="1">
      <alignment horizontal="center" vertical="justify" wrapText="1"/>
    </xf>
    <xf numFmtId="0" fontId="0" fillId="0" borderId="10" xfId="0" applyFont="1" applyFill="1" applyBorder="1" applyAlignment="1">
      <alignment horizontal="left"/>
    </xf>
    <xf numFmtId="0" fontId="0" fillId="0" borderId="10"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181" fontId="0" fillId="0" borderId="10" xfId="51" applyNumberFormat="1" applyFont="1" applyFill="1" applyBorder="1" applyAlignment="1">
      <alignment horizontal="right"/>
    </xf>
    <xf numFmtId="181" fontId="0" fillId="0" borderId="0" xfId="0" applyNumberFormat="1" applyFont="1" applyFill="1" applyBorder="1" applyAlignment="1">
      <alignment/>
    </xf>
    <xf numFmtId="3" fontId="0" fillId="0" borderId="0" xfId="0" applyNumberFormat="1" applyFont="1" applyFill="1" applyBorder="1" applyAlignment="1">
      <alignment/>
    </xf>
    <xf numFmtId="3" fontId="3" fillId="32" borderId="10" xfId="0" applyNumberFormat="1" applyFont="1" applyFill="1" applyBorder="1" applyAlignment="1">
      <alignment horizontal="right"/>
    </xf>
    <xf numFmtId="181" fontId="0" fillId="0" borderId="0" xfId="0" applyNumberFormat="1" applyFont="1" applyFill="1" applyAlignment="1">
      <alignment/>
    </xf>
    <xf numFmtId="0" fontId="0" fillId="0" borderId="10" xfId="0" applyFont="1" applyFill="1" applyBorder="1" applyAlignment="1">
      <alignment horizontal="center"/>
    </xf>
    <xf numFmtId="0" fontId="3" fillId="0" borderId="10" xfId="0" applyFont="1" applyFill="1" applyBorder="1" applyAlignment="1">
      <alignment horizontal="center"/>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pplyProtection="1">
      <alignment horizontal="center"/>
      <protection locked="0"/>
    </xf>
    <xf numFmtId="181" fontId="0" fillId="0" borderId="0" xfId="51" applyNumberFormat="1" applyFont="1" applyFill="1" applyBorder="1" applyAlignment="1">
      <alignment horizontal="right"/>
    </xf>
    <xf numFmtId="181" fontId="3" fillId="32" borderId="10" xfId="51" applyNumberFormat="1"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0" xfId="0" applyFont="1" applyBorder="1" applyAlignment="1">
      <alignment/>
    </xf>
    <xf numFmtId="3" fontId="0" fillId="0" borderId="0" xfId="0" applyNumberFormat="1" applyFont="1" applyAlignment="1">
      <alignment/>
    </xf>
    <xf numFmtId="15" fontId="0" fillId="0" borderId="0" xfId="0" applyNumberFormat="1" applyFont="1" applyAlignment="1">
      <alignment/>
    </xf>
    <xf numFmtId="15" fontId="3" fillId="0" borderId="0" xfId="0" applyNumberFormat="1" applyFont="1" applyFill="1" applyBorder="1" applyAlignment="1">
      <alignment horizontal="center"/>
    </xf>
    <xf numFmtId="0" fontId="3" fillId="0" borderId="0" xfId="0" applyNumberFormat="1" applyFont="1" applyFill="1" applyBorder="1" applyAlignment="1">
      <alignment/>
    </xf>
    <xf numFmtId="15" fontId="3" fillId="0" borderId="0" xfId="0" applyNumberFormat="1" applyFont="1" applyFill="1" applyBorder="1" applyAlignment="1">
      <alignment/>
    </xf>
    <xf numFmtId="3" fontId="0" fillId="0" borderId="0" xfId="0" applyNumberFormat="1" applyFont="1" applyFill="1" applyBorder="1" applyAlignment="1" applyProtection="1">
      <alignment horizontal="right"/>
      <protection locked="0"/>
    </xf>
    <xf numFmtId="0" fontId="0" fillId="0" borderId="10" xfId="0" applyNumberFormat="1" applyFont="1" applyFill="1" applyBorder="1" applyAlignment="1">
      <alignment/>
    </xf>
    <xf numFmtId="0" fontId="3" fillId="0" borderId="10" xfId="0" applyNumberFormat="1" applyFont="1" applyFill="1" applyBorder="1" applyAlignment="1">
      <alignment/>
    </xf>
    <xf numFmtId="3" fontId="0" fillId="0" borderId="10" xfId="0" applyNumberFormat="1" applyFont="1" applyFill="1" applyBorder="1" applyAlignment="1" applyProtection="1">
      <alignment horizontal="left"/>
      <protection locked="0"/>
    </xf>
    <xf numFmtId="0" fontId="0" fillId="0" borderId="10" xfId="0" applyFont="1" applyFill="1" applyBorder="1" applyAlignment="1">
      <alignment/>
    </xf>
    <xf numFmtId="0" fontId="24" fillId="0" borderId="0" xfId="0" applyFont="1" applyFill="1" applyBorder="1" applyAlignment="1">
      <alignment/>
    </xf>
    <xf numFmtId="15" fontId="24" fillId="0" borderId="0" xfId="0" applyNumberFormat="1" applyFont="1" applyFill="1" applyBorder="1" applyAlignment="1">
      <alignment/>
    </xf>
    <xf numFmtId="181" fontId="3" fillId="0" borderId="10" xfId="51"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Border="1" applyAlignment="1">
      <alignment/>
    </xf>
    <xf numFmtId="179" fontId="0" fillId="0" borderId="0" xfId="51" applyFont="1" applyBorder="1" applyAlignment="1">
      <alignment/>
    </xf>
    <xf numFmtId="179" fontId="0" fillId="0" borderId="0" xfId="0" applyNumberFormat="1" applyFont="1" applyBorder="1" applyAlignment="1">
      <alignment/>
    </xf>
    <xf numFmtId="0" fontId="0" fillId="0" borderId="10" xfId="0" applyFont="1" applyBorder="1" applyAlignment="1">
      <alignment/>
    </xf>
    <xf numFmtId="3" fontId="0" fillId="0" borderId="0" xfId="0" applyNumberFormat="1" applyFont="1" applyFill="1" applyAlignment="1">
      <alignment horizontal="right"/>
    </xf>
    <xf numFmtId="0" fontId="36" fillId="32" borderId="10" xfId="0" applyFont="1" applyFill="1" applyBorder="1" applyAlignment="1">
      <alignment horizontal="center"/>
    </xf>
    <xf numFmtId="0" fontId="3" fillId="0" borderId="10" xfId="0" applyFont="1" applyFill="1" applyBorder="1" applyAlignment="1">
      <alignment horizontal="left"/>
    </xf>
    <xf numFmtId="3" fontId="3" fillId="0" borderId="10" xfId="0" applyNumberFormat="1" applyFont="1" applyFill="1" applyBorder="1" applyAlignment="1" applyProtection="1">
      <alignment horizontal="right"/>
      <protection locked="0"/>
    </xf>
    <xf numFmtId="3" fontId="3" fillId="32" borderId="10" xfId="0" applyNumberFormat="1" applyFont="1" applyFill="1" applyBorder="1" applyAlignment="1">
      <alignment horizontal="right" wrapText="1"/>
    </xf>
    <xf numFmtId="3" fontId="3" fillId="0" borderId="10" xfId="0" applyNumberFormat="1" applyFont="1" applyFill="1" applyBorder="1" applyAlignment="1">
      <alignment horizontal="left" vertical="center"/>
    </xf>
    <xf numFmtId="3" fontId="3" fillId="0" borderId="10" xfId="0" applyNumberFormat="1" applyFont="1" applyFill="1" applyBorder="1" applyAlignment="1">
      <alignment horizontal="left"/>
    </xf>
    <xf numFmtId="181"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xf>
    <xf numFmtId="181"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181" fontId="3" fillId="0" borderId="10" xfId="0" applyNumberFormat="1" applyFont="1" applyFill="1" applyBorder="1" applyAlignment="1" applyProtection="1">
      <alignment horizontal="center"/>
      <protection locked="0"/>
    </xf>
    <xf numFmtId="181" fontId="3" fillId="0" borderId="10" xfId="51" applyNumberFormat="1" applyFont="1" applyFill="1" applyBorder="1" applyAlignment="1">
      <alignment horizontal="right"/>
    </xf>
    <xf numFmtId="0" fontId="3" fillId="0" borderId="10" xfId="0" applyNumberFormat="1" applyFont="1" applyFill="1" applyBorder="1" applyAlignment="1">
      <alignment horizontal="center"/>
    </xf>
    <xf numFmtId="0" fontId="3" fillId="0" borderId="10" xfId="0" applyNumberFormat="1" applyFont="1" applyFill="1" applyBorder="1" applyAlignment="1">
      <alignment horizontal="center" vertical="center" wrapText="1"/>
    </xf>
    <xf numFmtId="0" fontId="3" fillId="32" borderId="10" xfId="0" applyFont="1" applyFill="1" applyBorder="1" applyAlignment="1">
      <alignment/>
    </xf>
    <xf numFmtId="0" fontId="4" fillId="0" borderId="97" xfId="0" applyFont="1" applyFill="1" applyBorder="1" applyAlignment="1">
      <alignment horizontal="left" indent="1"/>
    </xf>
    <xf numFmtId="0" fontId="3" fillId="0" borderId="0" xfId="0" applyFont="1" applyAlignment="1">
      <alignment/>
    </xf>
    <xf numFmtId="0" fontId="4" fillId="0" borderId="10" xfId="0" applyNumberFormat="1" applyFont="1" applyFill="1" applyBorder="1" applyAlignment="1">
      <alignment horizontal="center"/>
    </xf>
    <xf numFmtId="15" fontId="4" fillId="0" borderId="10" xfId="0" applyNumberFormat="1" applyFont="1" applyFill="1" applyBorder="1" applyAlignment="1">
      <alignment horizontal="center"/>
    </xf>
    <xf numFmtId="0" fontId="0" fillId="0" borderId="44" xfId="0" applyFont="1" applyFill="1" applyBorder="1" applyAlignment="1">
      <alignment/>
    </xf>
    <xf numFmtId="181" fontId="3" fillId="0" borderId="44" xfId="51" applyNumberFormat="1" applyFont="1" applyBorder="1" applyAlignment="1">
      <alignment/>
    </xf>
    <xf numFmtId="0" fontId="3" fillId="32" borderId="26" xfId="0" applyFont="1" applyFill="1" applyBorder="1" applyAlignment="1">
      <alignment horizontal="center" wrapText="1"/>
    </xf>
    <xf numFmtId="0" fontId="3" fillId="32" borderId="27" xfId="0" applyFont="1" applyFill="1" applyBorder="1" applyAlignment="1">
      <alignment horizontal="center" wrapText="1"/>
    </xf>
    <xf numFmtId="10" fontId="3" fillId="32" borderId="26" xfId="0" applyNumberFormat="1" applyFont="1" applyFill="1" applyBorder="1" applyAlignment="1">
      <alignment horizontal="center" wrapText="1"/>
    </xf>
    <xf numFmtId="10" fontId="3" fillId="32" borderId="64" xfId="0" applyNumberFormat="1" applyFont="1" applyFill="1" applyBorder="1" applyAlignment="1">
      <alignment horizontal="center" wrapText="1"/>
    </xf>
    <xf numFmtId="9" fontId="3" fillId="32" borderId="31" xfId="0" applyNumberFormat="1" applyFont="1" applyFill="1" applyBorder="1" applyAlignment="1">
      <alignment horizontal="center" wrapText="1"/>
    </xf>
    <xf numFmtId="10" fontId="3" fillId="32" borderId="90" xfId="0" applyNumberFormat="1" applyFont="1" applyFill="1" applyBorder="1" applyAlignment="1">
      <alignment horizontal="center" wrapText="1"/>
    </xf>
    <xf numFmtId="10" fontId="3" fillId="32" borderId="32" xfId="0" applyNumberFormat="1" applyFont="1" applyFill="1" applyBorder="1" applyAlignment="1">
      <alignment horizontal="center" wrapText="1"/>
    </xf>
    <xf numFmtId="0" fontId="3" fillId="32" borderId="26" xfId="0" applyFont="1" applyFill="1" applyBorder="1" applyAlignment="1">
      <alignment horizontal="center"/>
    </xf>
    <xf numFmtId="0" fontId="3" fillId="32" borderId="26" xfId="0" applyFont="1" applyFill="1" applyBorder="1" applyAlignment="1">
      <alignment/>
    </xf>
    <xf numFmtId="15" fontId="0" fillId="0" borderId="0" xfId="0" applyNumberFormat="1" applyFont="1" applyBorder="1" applyAlignment="1">
      <alignment/>
    </xf>
    <xf numFmtId="180" fontId="3" fillId="0" borderId="0" xfId="0" applyNumberFormat="1" applyFont="1" applyBorder="1" applyAlignment="1">
      <alignment/>
    </xf>
    <xf numFmtId="0" fontId="3" fillId="0" borderId="31" xfId="0" applyFont="1" applyBorder="1" applyAlignment="1">
      <alignment/>
    </xf>
    <xf numFmtId="189" fontId="4" fillId="0" borderId="0" xfId="68" applyNumberFormat="1" applyFont="1" applyFill="1" applyAlignment="1">
      <alignment/>
    </xf>
    <xf numFmtId="181" fontId="21" fillId="0" borderId="0" xfId="0" applyNumberFormat="1" applyFont="1" applyAlignment="1">
      <alignment/>
    </xf>
    <xf numFmtId="181" fontId="21" fillId="0" borderId="0" xfId="75" applyNumberFormat="1" applyFont="1" applyAlignment="1">
      <alignment/>
    </xf>
    <xf numFmtId="9" fontId="0" fillId="0" borderId="0" xfId="75" applyFont="1" applyAlignment="1">
      <alignment/>
    </xf>
    <xf numFmtId="0" fontId="38" fillId="0" borderId="0" xfId="0" applyFont="1" applyAlignment="1">
      <alignment/>
    </xf>
    <xf numFmtId="0" fontId="28" fillId="0" borderId="0" xfId="0" applyFont="1" applyFill="1" applyBorder="1" applyAlignment="1">
      <alignment horizontal="center"/>
    </xf>
    <xf numFmtId="0" fontId="28" fillId="32" borderId="0" xfId="0" applyFont="1" applyFill="1" applyAlignment="1">
      <alignment/>
    </xf>
    <xf numFmtId="0" fontId="28" fillId="32" borderId="0" xfId="0" applyFont="1" applyFill="1" applyAlignment="1">
      <alignment horizontal="left"/>
    </xf>
    <xf numFmtId="183" fontId="4" fillId="32" borderId="0" xfId="67" applyNumberFormat="1" applyFont="1" applyFill="1" applyAlignment="1">
      <alignment/>
    </xf>
    <xf numFmtId="183" fontId="28" fillId="32" borderId="0" xfId="67" applyNumberFormat="1" applyFont="1" applyFill="1" applyAlignment="1">
      <alignment/>
    </xf>
    <xf numFmtId="0" fontId="28" fillId="32" borderId="10" xfId="0" applyFont="1" applyFill="1" applyBorder="1" applyAlignment="1">
      <alignment horizontal="center"/>
    </xf>
    <xf numFmtId="0" fontId="3" fillId="0" borderId="0" xfId="0" applyFont="1" applyFill="1" applyBorder="1" applyAlignment="1">
      <alignment/>
    </xf>
    <xf numFmtId="181" fontId="0" fillId="0" borderId="10" xfId="51" applyNumberFormat="1" applyFont="1" applyBorder="1" applyAlignment="1">
      <alignment/>
    </xf>
    <xf numFmtId="15" fontId="0" fillId="0" borderId="0" xfId="0" applyNumberFormat="1" applyFont="1" applyFill="1" applyBorder="1" applyAlignment="1">
      <alignment/>
    </xf>
    <xf numFmtId="179" fontId="0" fillId="0" borderId="0" xfId="51" applyFont="1" applyFill="1" applyAlignment="1">
      <alignment/>
    </xf>
    <xf numFmtId="179" fontId="0" fillId="0" borderId="0" xfId="51" applyFont="1" applyFill="1" applyBorder="1" applyAlignment="1">
      <alignment/>
    </xf>
    <xf numFmtId="181" fontId="0" fillId="0" borderId="0" xfId="51" applyNumberFormat="1" applyFont="1" applyAlignment="1">
      <alignment/>
    </xf>
    <xf numFmtId="0" fontId="28" fillId="0" borderId="25" xfId="0" applyFont="1" applyFill="1" applyBorder="1" applyAlignment="1">
      <alignment horizontal="center"/>
    </xf>
    <xf numFmtId="0" fontId="28" fillId="32" borderId="64" xfId="0" applyFont="1" applyFill="1" applyBorder="1" applyAlignment="1">
      <alignment horizontal="center"/>
    </xf>
    <xf numFmtId="0" fontId="28" fillId="32" borderId="26" xfId="0" applyFont="1" applyFill="1" applyBorder="1" applyAlignment="1">
      <alignment horizontal="center"/>
    </xf>
    <xf numFmtId="0" fontId="28" fillId="0" borderId="26" xfId="0" applyFont="1" applyFill="1" applyBorder="1" applyAlignment="1">
      <alignment horizontal="center"/>
    </xf>
    <xf numFmtId="0" fontId="28" fillId="0" borderId="19" xfId="0" applyFont="1" applyFill="1" applyBorder="1" applyAlignment="1">
      <alignment horizontal="center"/>
    </xf>
    <xf numFmtId="181" fontId="4" fillId="0" borderId="20" xfId="0" applyNumberFormat="1" applyFont="1" applyFill="1" applyBorder="1" applyAlignment="1">
      <alignment/>
    </xf>
    <xf numFmtId="181" fontId="4" fillId="0" borderId="20" xfId="51" applyNumberFormat="1" applyFont="1" applyFill="1" applyBorder="1" applyAlignment="1">
      <alignment/>
    </xf>
    <xf numFmtId="179" fontId="4" fillId="0" borderId="20" xfId="0" applyNumberFormat="1" applyFont="1" applyFill="1" applyBorder="1" applyAlignment="1">
      <alignment/>
    </xf>
    <xf numFmtId="181" fontId="3" fillId="32" borderId="26" xfId="0" applyNumberFormat="1" applyFont="1" applyFill="1" applyBorder="1" applyAlignment="1">
      <alignment/>
    </xf>
    <xf numFmtId="178" fontId="3" fillId="0" borderId="64" xfId="68" applyFont="1" applyFill="1" applyBorder="1" applyAlignment="1">
      <alignment/>
    </xf>
    <xf numFmtId="179" fontId="0" fillId="0" borderId="0" xfId="51" applyFont="1" applyFill="1" applyAlignment="1">
      <alignment/>
    </xf>
    <xf numFmtId="0" fontId="3" fillId="0" borderId="101" xfId="0" applyFont="1" applyBorder="1" applyAlignment="1">
      <alignment/>
    </xf>
    <xf numFmtId="181" fontId="4" fillId="0" borderId="99" xfId="0" applyNumberFormat="1" applyFont="1" applyFill="1" applyBorder="1" applyAlignment="1">
      <alignment/>
    </xf>
    <xf numFmtId="181" fontId="28" fillId="0" borderId="99" xfId="0" applyNumberFormat="1" applyFont="1" applyFill="1" applyBorder="1" applyAlignment="1">
      <alignment/>
    </xf>
    <xf numFmtId="171" fontId="0" fillId="0" borderId="0" xfId="0" applyNumberFormat="1" applyFill="1" applyAlignment="1">
      <alignment/>
    </xf>
    <xf numFmtId="0" fontId="4" fillId="0" borderId="100" xfId="0" applyFont="1" applyFill="1" applyBorder="1" applyAlignment="1">
      <alignment/>
    </xf>
    <xf numFmtId="0" fontId="0" fillId="0" borderId="10" xfId="0" applyFont="1" applyFill="1" applyBorder="1" applyAlignment="1">
      <alignment horizontal="left"/>
    </xf>
    <xf numFmtId="0" fontId="0" fillId="0" borderId="17" xfId="0" applyFont="1" applyFill="1" applyBorder="1" applyAlignment="1">
      <alignment horizontal="left"/>
    </xf>
    <xf numFmtId="181" fontId="0" fillId="0" borderId="10" xfId="51" applyNumberFormat="1" applyFont="1" applyFill="1" applyBorder="1" applyAlignment="1">
      <alignment horizontal="right"/>
    </xf>
    <xf numFmtId="43" fontId="15" fillId="0" borderId="0" xfId="0" applyNumberFormat="1" applyFont="1" applyAlignment="1">
      <alignment/>
    </xf>
    <xf numFmtId="3" fontId="0" fillId="0" borderId="10" xfId="0" applyNumberFormat="1" applyFont="1" applyFill="1" applyBorder="1" applyAlignment="1" applyProtection="1">
      <alignment horizontal="right"/>
      <protection locked="0"/>
    </xf>
    <xf numFmtId="0" fontId="25" fillId="0" borderId="0" xfId="0" applyFont="1" applyAlignment="1">
      <alignment/>
    </xf>
    <xf numFmtId="0" fontId="4" fillId="0" borderId="97" xfId="0" applyFont="1" applyFill="1" applyBorder="1" applyAlignment="1">
      <alignment horizontal="left" indent="1"/>
    </xf>
    <xf numFmtId="181" fontId="4" fillId="0" borderId="99" xfId="51" applyNumberFormat="1" applyFont="1" applyFill="1" applyBorder="1" applyAlignment="1">
      <alignment/>
    </xf>
    <xf numFmtId="179" fontId="33" fillId="0" borderId="0" xfId="51" applyFont="1" applyFill="1" applyAlignment="1">
      <alignment/>
    </xf>
    <xf numFmtId="179" fontId="33" fillId="0" borderId="102" xfId="51" applyFont="1" applyFill="1" applyBorder="1" applyAlignment="1">
      <alignment/>
    </xf>
    <xf numFmtId="3" fontId="4" fillId="0" borderId="99" xfId="0" applyNumberFormat="1" applyFont="1" applyFill="1" applyBorder="1" applyAlignment="1">
      <alignment/>
    </xf>
    <xf numFmtId="37" fontId="4" fillId="0" borderId="97" xfId="0" applyNumberFormat="1" applyFont="1" applyFill="1" applyBorder="1" applyAlignment="1">
      <alignment/>
    </xf>
    <xf numFmtId="0" fontId="4" fillId="0" borderId="103" xfId="0" applyFont="1" applyFill="1" applyBorder="1" applyAlignment="1">
      <alignment horizontal="left" indent="1"/>
    </xf>
    <xf numFmtId="10" fontId="4" fillId="0" borderId="100" xfId="75" applyNumberFormat="1" applyFont="1" applyFill="1" applyBorder="1" applyAlignment="1">
      <alignment/>
    </xf>
    <xf numFmtId="183" fontId="4" fillId="0" borderId="0" xfId="0" applyNumberFormat="1" applyFont="1" applyFill="1" applyAlignment="1">
      <alignment/>
    </xf>
    <xf numFmtId="178" fontId="15" fillId="0" borderId="0" xfId="68" applyFont="1" applyAlignment="1">
      <alignment/>
    </xf>
    <xf numFmtId="0" fontId="0" fillId="0" borderId="10" xfId="0" applyNumberFormat="1" applyFont="1" applyFill="1" applyBorder="1" applyAlignment="1">
      <alignment/>
    </xf>
    <xf numFmtId="178" fontId="40" fillId="0" borderId="0" xfId="0" applyNumberFormat="1" applyFont="1" applyAlignment="1">
      <alignment horizontal="right"/>
    </xf>
    <xf numFmtId="178" fontId="3" fillId="34" borderId="64" xfId="68" applyFont="1" applyFill="1" applyBorder="1" applyAlignment="1">
      <alignment/>
    </xf>
    <xf numFmtId="178" fontId="3" fillId="0" borderId="26" xfId="68" applyFont="1" applyFill="1" applyBorder="1" applyAlignment="1">
      <alignment/>
    </xf>
    <xf numFmtId="3" fontId="0" fillId="0" borderId="10" xfId="0" applyNumberFormat="1" applyFont="1" applyFill="1" applyBorder="1" applyAlignment="1">
      <alignment horizontal="left"/>
    </xf>
    <xf numFmtId="181" fontId="0" fillId="0" borderId="0" xfId="0" applyNumberFormat="1" applyAlignment="1">
      <alignment/>
    </xf>
    <xf numFmtId="0" fontId="0" fillId="0" borderId="0" xfId="0" applyFont="1" applyFill="1" applyBorder="1" applyAlignment="1">
      <alignment horizontal="right"/>
    </xf>
    <xf numFmtId="3" fontId="3" fillId="32" borderId="90" xfId="0" applyNumberFormat="1" applyFont="1" applyFill="1" applyBorder="1" applyAlignment="1">
      <alignment horizontal="right"/>
    </xf>
    <xf numFmtId="3" fontId="3" fillId="32" borderId="32" xfId="0" applyNumberFormat="1" applyFont="1" applyFill="1" applyBorder="1" applyAlignment="1">
      <alignment horizontal="right"/>
    </xf>
    <xf numFmtId="0" fontId="3" fillId="32" borderId="71" xfId="0" applyFont="1" applyFill="1" applyBorder="1" applyAlignment="1">
      <alignment/>
    </xf>
    <xf numFmtId="0" fontId="3" fillId="32" borderId="31" xfId="0" applyFont="1" applyFill="1" applyBorder="1" applyAlignment="1">
      <alignment/>
    </xf>
    <xf numFmtId="0" fontId="3" fillId="32" borderId="90" xfId="0" applyFont="1" applyFill="1" applyBorder="1" applyAlignment="1">
      <alignment horizontal="center"/>
    </xf>
    <xf numFmtId="0" fontId="0" fillId="34" borderId="10" xfId="0" applyFont="1" applyFill="1" applyBorder="1" applyAlignment="1">
      <alignment horizontal="left"/>
    </xf>
    <xf numFmtId="181" fontId="0" fillId="0" borderId="0" xfId="51" applyNumberFormat="1" applyFont="1" applyFill="1" applyBorder="1" applyAlignment="1">
      <alignment horizontal="right"/>
    </xf>
    <xf numFmtId="0" fontId="0" fillId="0" borderId="0" xfId="0" applyFont="1" applyFill="1" applyBorder="1" applyAlignment="1">
      <alignment horizontal="left"/>
    </xf>
    <xf numFmtId="179" fontId="0" fillId="0" borderId="0" xfId="51" applyFont="1" applyBorder="1" applyAlignment="1">
      <alignment/>
    </xf>
    <xf numFmtId="0" fontId="0" fillId="34" borderId="0" xfId="0" applyFill="1" applyAlignment="1">
      <alignment/>
    </xf>
    <xf numFmtId="0" fontId="0" fillId="34" borderId="10" xfId="0" applyFont="1" applyFill="1" applyBorder="1" applyAlignment="1">
      <alignment horizontal="left"/>
    </xf>
    <xf numFmtId="0" fontId="0" fillId="34" borderId="17" xfId="0" applyFont="1" applyFill="1" applyBorder="1" applyAlignment="1">
      <alignment horizontal="left"/>
    </xf>
    <xf numFmtId="178" fontId="15" fillId="0" borderId="0" xfId="75" applyNumberFormat="1" applyFont="1" applyAlignment="1">
      <alignment/>
    </xf>
    <xf numFmtId="10" fontId="28" fillId="0" borderId="77" xfId="75" applyNumberFormat="1" applyFont="1" applyFill="1" applyBorder="1" applyAlignment="1">
      <alignment/>
    </xf>
    <xf numFmtId="10" fontId="4" fillId="0" borderId="77" xfId="75" applyNumberFormat="1" applyFont="1" applyFill="1" applyBorder="1" applyAlignment="1">
      <alignment/>
    </xf>
    <xf numFmtId="181" fontId="0" fillId="34" borderId="10" xfId="51" applyNumberFormat="1" applyFont="1" applyFill="1" applyBorder="1" applyAlignment="1">
      <alignment horizontal="right"/>
    </xf>
    <xf numFmtId="181" fontId="0" fillId="34" borderId="10" xfId="51" applyNumberFormat="1" applyFont="1" applyFill="1" applyBorder="1" applyAlignment="1">
      <alignment horizontal="right"/>
    </xf>
    <xf numFmtId="0" fontId="0" fillId="0" borderId="0" xfId="0" applyFont="1" applyFill="1" applyBorder="1" applyAlignment="1" applyProtection="1">
      <alignment horizontal="center"/>
      <protection locked="0"/>
    </xf>
    <xf numFmtId="15"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181" fontId="15" fillId="0" borderId="0" xfId="51" applyNumberFormat="1" applyFont="1" applyAlignment="1">
      <alignment/>
    </xf>
    <xf numFmtId="3" fontId="3" fillId="32" borderId="10" xfId="0" applyNumberFormat="1" applyFont="1" applyFill="1" applyBorder="1" applyAlignment="1">
      <alignment horizontal="left" vertical="center"/>
    </xf>
    <xf numFmtId="15" fontId="4" fillId="32" borderId="10" xfId="0" applyNumberFormat="1" applyFont="1" applyFill="1" applyBorder="1" applyAlignment="1">
      <alignment horizontal="center"/>
    </xf>
    <xf numFmtId="0" fontId="4" fillId="32" borderId="10" xfId="0" applyNumberFormat="1" applyFont="1" applyFill="1" applyBorder="1" applyAlignment="1">
      <alignment horizontal="center"/>
    </xf>
    <xf numFmtId="0" fontId="3" fillId="32" borderId="10" xfId="0" applyFont="1" applyFill="1" applyBorder="1" applyAlignment="1">
      <alignment horizontal="center" vertical="center"/>
    </xf>
    <xf numFmtId="181" fontId="3" fillId="32" borderId="10" xfId="0" applyNumberFormat="1" applyFont="1" applyFill="1" applyBorder="1" applyAlignment="1">
      <alignment horizontal="center" vertical="center"/>
    </xf>
    <xf numFmtId="3" fontId="3" fillId="32" borderId="10" xfId="0" applyNumberFormat="1" applyFont="1" applyFill="1" applyBorder="1" applyAlignment="1">
      <alignment horizontal="right" vertical="center"/>
    </xf>
    <xf numFmtId="0" fontId="3" fillId="32" borderId="10" xfId="0" applyFont="1" applyFill="1" applyBorder="1" applyAlignment="1">
      <alignment horizontal="left"/>
    </xf>
    <xf numFmtId="0" fontId="4" fillId="0" borderId="103" xfId="0" applyFont="1" applyFill="1" applyBorder="1" applyAlignment="1">
      <alignment horizontal="left" indent="1"/>
    </xf>
    <xf numFmtId="0" fontId="28" fillId="34" borderId="0" xfId="0" applyFont="1" applyFill="1" applyBorder="1" applyAlignment="1">
      <alignment horizontal="right"/>
    </xf>
    <xf numFmtId="0" fontId="0" fillId="34" borderId="0" xfId="0" applyFill="1" applyBorder="1" applyAlignment="1">
      <alignment/>
    </xf>
    <xf numFmtId="179" fontId="0" fillId="0" borderId="0" xfId="51" applyFont="1" applyFill="1" applyBorder="1" applyAlignment="1">
      <alignment/>
    </xf>
    <xf numFmtId="181" fontId="0" fillId="0" borderId="0" xfId="51" applyNumberFormat="1" applyFont="1" applyFill="1" applyBorder="1" applyAlignment="1">
      <alignment/>
    </xf>
    <xf numFmtId="0" fontId="24" fillId="0" borderId="0" xfId="0" applyFont="1" applyFill="1" applyBorder="1" applyAlignment="1">
      <alignment/>
    </xf>
    <xf numFmtId="0" fontId="3" fillId="32" borderId="20" xfId="0" applyFont="1" applyFill="1" applyBorder="1" applyAlignment="1">
      <alignment horizontal="center"/>
    </xf>
    <xf numFmtId="0" fontId="3" fillId="32" borderId="20" xfId="0" applyFont="1" applyFill="1" applyBorder="1" applyAlignment="1">
      <alignment horizontal="center" wrapText="1"/>
    </xf>
    <xf numFmtId="0" fontId="50" fillId="35" borderId="10" xfId="0" applyFont="1" applyFill="1" applyBorder="1" applyAlignment="1">
      <alignment/>
    </xf>
    <xf numFmtId="10" fontId="50" fillId="35" borderId="10" xfId="0" applyNumberFormat="1" applyFont="1" applyFill="1" applyBorder="1" applyAlignment="1">
      <alignment horizontal="center"/>
    </xf>
    <xf numFmtId="181" fontId="50" fillId="35" borderId="10" xfId="51" applyNumberFormat="1" applyFont="1" applyFill="1" applyBorder="1" applyAlignment="1">
      <alignment/>
    </xf>
    <xf numFmtId="10" fontId="50" fillId="35" borderId="10" xfId="0" applyNumberFormat="1" applyFont="1" applyFill="1" applyBorder="1" applyAlignment="1">
      <alignment/>
    </xf>
    <xf numFmtId="0" fontId="4" fillId="0" borderId="0" xfId="0" applyFont="1" applyFill="1" applyAlignment="1">
      <alignment/>
    </xf>
    <xf numFmtId="0" fontId="4" fillId="0" borderId="0" xfId="0" applyFont="1" applyAlignment="1">
      <alignment/>
    </xf>
    <xf numFmtId="179" fontId="42" fillId="0" borderId="0" xfId="51" applyFont="1" applyAlignment="1">
      <alignment/>
    </xf>
    <xf numFmtId="3" fontId="4" fillId="0" borderId="0" xfId="0" applyNumberFormat="1" applyFont="1" applyFill="1" applyAlignment="1">
      <alignment/>
    </xf>
    <xf numFmtId="3" fontId="4" fillId="0" borderId="0" xfId="0" applyNumberFormat="1" applyFont="1" applyAlignment="1">
      <alignment horizontal="center"/>
    </xf>
    <xf numFmtId="183" fontId="30" fillId="0" borderId="0" xfId="0" applyNumberFormat="1" applyFont="1" applyFill="1" applyAlignment="1">
      <alignment/>
    </xf>
    <xf numFmtId="183" fontId="4" fillId="0" borderId="0" xfId="0" applyNumberFormat="1" applyFont="1" applyAlignment="1">
      <alignment/>
    </xf>
    <xf numFmtId="0" fontId="28" fillId="0" borderId="0" xfId="0" applyFont="1" applyFill="1" applyAlignment="1">
      <alignment/>
    </xf>
    <xf numFmtId="183" fontId="28" fillId="0" borderId="0" xfId="0" applyNumberFormat="1" applyFont="1" applyAlignment="1">
      <alignment/>
    </xf>
    <xf numFmtId="183" fontId="4" fillId="0" borderId="0" xfId="0" applyNumberFormat="1" applyFont="1" applyFill="1" applyAlignment="1">
      <alignment/>
    </xf>
    <xf numFmtId="179" fontId="4" fillId="0" borderId="0" xfId="51" applyFont="1" applyFill="1" applyAlignment="1">
      <alignment/>
    </xf>
    <xf numFmtId="0" fontId="30" fillId="0" borderId="0" xfId="0" applyFont="1" applyAlignment="1">
      <alignment/>
    </xf>
    <xf numFmtId="181" fontId="30" fillId="0" borderId="0" xfId="51" applyNumberFormat="1" applyFont="1" applyAlignment="1">
      <alignment/>
    </xf>
    <xf numFmtId="0" fontId="28" fillId="0" borderId="104" xfId="0" applyFont="1" applyFill="1" applyBorder="1" applyAlignment="1">
      <alignment horizontal="center"/>
    </xf>
    <xf numFmtId="183" fontId="28" fillId="0" borderId="104" xfId="67" applyNumberFormat="1" applyFont="1" applyFill="1" applyBorder="1" applyAlignment="1">
      <alignment horizontal="center"/>
    </xf>
    <xf numFmtId="0" fontId="28" fillId="0" borderId="105" xfId="0" applyFont="1" applyFill="1" applyBorder="1" applyAlignment="1">
      <alignment horizontal="center"/>
    </xf>
    <xf numFmtId="183" fontId="28" fillId="0" borderId="105" xfId="67" applyNumberFormat="1" applyFont="1" applyFill="1" applyBorder="1" applyAlignment="1">
      <alignment horizontal="center"/>
    </xf>
    <xf numFmtId="0" fontId="28" fillId="0" borderId="106" xfId="0" applyFont="1" applyFill="1" applyBorder="1" applyAlignment="1">
      <alignment horizontal="center"/>
    </xf>
    <xf numFmtId="183" fontId="28" fillId="0" borderId="106" xfId="67" applyNumberFormat="1" applyFont="1" applyFill="1" applyBorder="1" applyAlignment="1">
      <alignment horizontal="center"/>
    </xf>
    <xf numFmtId="0" fontId="28" fillId="0" borderId="107" xfId="0" applyFont="1" applyFill="1" applyBorder="1" applyAlignment="1">
      <alignment/>
    </xf>
    <xf numFmtId="0" fontId="28" fillId="0" borderId="108" xfId="0" applyFont="1" applyFill="1" applyBorder="1" applyAlignment="1">
      <alignment horizontal="center"/>
    </xf>
    <xf numFmtId="0" fontId="28" fillId="0" borderId="108" xfId="0" applyFont="1" applyFill="1" applyBorder="1" applyAlignment="1">
      <alignment/>
    </xf>
    <xf numFmtId="0" fontId="4" fillId="0" borderId="108" xfId="0" applyFont="1" applyFill="1" applyBorder="1" applyAlignment="1">
      <alignment/>
    </xf>
    <xf numFmtId="0" fontId="28" fillId="0" borderId="109" xfId="0" applyFont="1" applyFill="1" applyBorder="1" applyAlignment="1">
      <alignment/>
    </xf>
    <xf numFmtId="183" fontId="28" fillId="0" borderId="104" xfId="67" applyNumberFormat="1" applyFont="1" applyFill="1" applyBorder="1" applyAlignment="1">
      <alignment horizontal="center" vertical="center" wrapText="1"/>
    </xf>
    <xf numFmtId="179" fontId="36" fillId="0" borderId="0" xfId="51" applyFont="1" applyFill="1" applyAlignment="1">
      <alignment/>
    </xf>
    <xf numFmtId="0" fontId="36" fillId="0" borderId="0" xfId="0" applyFont="1" applyAlignment="1">
      <alignment/>
    </xf>
    <xf numFmtId="0" fontId="43" fillId="34" borderId="0" xfId="0" applyFont="1" applyFill="1" applyAlignment="1">
      <alignment/>
    </xf>
    <xf numFmtId="179" fontId="4" fillId="0" borderId="0" xfId="51" applyFont="1" applyAlignment="1">
      <alignment/>
    </xf>
    <xf numFmtId="3" fontId="36" fillId="32" borderId="26" xfId="0" applyNumberFormat="1" applyFont="1" applyFill="1" applyBorder="1" applyAlignment="1">
      <alignment/>
    </xf>
    <xf numFmtId="181" fontId="4" fillId="0" borderId="0" xfId="0" applyNumberFormat="1" applyFont="1" applyAlignment="1">
      <alignment/>
    </xf>
    <xf numFmtId="181" fontId="4" fillId="0" borderId="0" xfId="51" applyNumberFormat="1" applyFont="1" applyAlignment="1">
      <alignment/>
    </xf>
    <xf numFmtId="43" fontId="4" fillId="0" borderId="0" xfId="0" applyNumberFormat="1" applyFont="1" applyAlignment="1">
      <alignment/>
    </xf>
    <xf numFmtId="179" fontId="36" fillId="32" borderId="26" xfId="51" applyFont="1" applyFill="1" applyBorder="1" applyAlignment="1">
      <alignment/>
    </xf>
    <xf numFmtId="187" fontId="36" fillId="34" borderId="58" xfId="0" applyNumberFormat="1" applyFont="1" applyFill="1" applyBorder="1" applyAlignment="1">
      <alignment horizontal="center"/>
    </xf>
    <xf numFmtId="187" fontId="36" fillId="34" borderId="41" xfId="0" applyNumberFormat="1" applyFont="1" applyFill="1" applyBorder="1" applyAlignment="1">
      <alignment horizontal="center"/>
    </xf>
    <xf numFmtId="187" fontId="36" fillId="32" borderId="45" xfId="0" applyNumberFormat="1" applyFont="1" applyFill="1" applyBorder="1" applyAlignment="1">
      <alignment horizontal="center"/>
    </xf>
    <xf numFmtId="0" fontId="0" fillId="0" borderId="0" xfId="72">
      <alignment/>
      <protection/>
    </xf>
    <xf numFmtId="0" fontId="0" fillId="0" borderId="0" xfId="72" applyAlignment="1">
      <alignment horizontal="center"/>
      <protection/>
    </xf>
    <xf numFmtId="0" fontId="0" fillId="0" borderId="0" xfId="72" applyFill="1">
      <alignment/>
      <protection/>
    </xf>
    <xf numFmtId="0" fontId="0" fillId="0" borderId="0" xfId="72" applyAlignment="1">
      <alignment horizontal="center" vertical="top" wrapText="1"/>
      <protection/>
    </xf>
    <xf numFmtId="0" fontId="0" fillId="0" borderId="0" xfId="72" applyAlignment="1">
      <alignment horizontal="justify" vertical="top" wrapText="1"/>
      <protection/>
    </xf>
    <xf numFmtId="0" fontId="3" fillId="0" borderId="10" xfId="72" applyFont="1" applyBorder="1" applyAlignment="1">
      <alignment horizontal="center"/>
      <protection/>
    </xf>
    <xf numFmtId="0" fontId="0" fillId="0" borderId="10" xfId="72" applyFont="1" applyBorder="1" applyAlignment="1">
      <alignment horizontal="left"/>
      <protection/>
    </xf>
    <xf numFmtId="9" fontId="0" fillId="0" borderId="10" xfId="72" applyNumberFormat="1" applyBorder="1">
      <alignment/>
      <protection/>
    </xf>
    <xf numFmtId="0" fontId="0" fillId="0" borderId="10" xfId="72" applyFont="1" applyBorder="1">
      <alignment/>
      <protection/>
    </xf>
    <xf numFmtId="190" fontId="0" fillId="0" borderId="10" xfId="72" applyNumberFormat="1" applyBorder="1">
      <alignment/>
      <protection/>
    </xf>
    <xf numFmtId="0" fontId="3" fillId="0" borderId="10" xfId="72" applyFont="1" applyBorder="1" applyAlignment="1">
      <alignment horizontal="center" vertical="top" wrapText="1"/>
      <protection/>
    </xf>
    <xf numFmtId="0" fontId="3" fillId="34" borderId="10" xfId="72" applyFont="1" applyFill="1" applyBorder="1" applyAlignment="1">
      <alignment horizontal="center" vertical="top" wrapText="1"/>
      <protection/>
    </xf>
    <xf numFmtId="0" fontId="3" fillId="0" borderId="10" xfId="72" applyFont="1" applyFill="1" applyBorder="1" applyAlignment="1">
      <alignment horizontal="center" vertical="top" wrapText="1"/>
      <protection/>
    </xf>
    <xf numFmtId="190" fontId="0" fillId="34" borderId="10" xfId="72" applyNumberFormat="1" applyFill="1" applyBorder="1">
      <alignment/>
      <protection/>
    </xf>
    <xf numFmtId="0" fontId="0" fillId="0" borderId="10" xfId="72" applyFill="1" applyBorder="1">
      <alignment/>
      <protection/>
    </xf>
    <xf numFmtId="190" fontId="0" fillId="0" borderId="10" xfId="72" applyNumberFormat="1" applyFill="1" applyBorder="1">
      <alignment/>
      <protection/>
    </xf>
    <xf numFmtId="0" fontId="0" fillId="0" borderId="10" xfId="72" applyBorder="1" applyAlignment="1">
      <alignment horizontal="justify" vertical="top" wrapText="1"/>
      <protection/>
    </xf>
    <xf numFmtId="10" fontId="0" fillId="0" borderId="10" xfId="72" applyNumberFormat="1" applyFill="1" applyBorder="1">
      <alignment/>
      <protection/>
    </xf>
    <xf numFmtId="0" fontId="0" fillId="0" borderId="10" xfId="72" applyBorder="1">
      <alignment/>
      <protection/>
    </xf>
    <xf numFmtId="190" fontId="0" fillId="0" borderId="0" xfId="72" applyNumberFormat="1">
      <alignment/>
      <protection/>
    </xf>
    <xf numFmtId="0" fontId="3" fillId="0" borderId="10" xfId="72" applyFont="1" applyBorder="1">
      <alignment/>
      <protection/>
    </xf>
    <xf numFmtId="3" fontId="0" fillId="0" borderId="10" xfId="72" applyNumberFormat="1" applyBorder="1">
      <alignment/>
      <protection/>
    </xf>
    <xf numFmtId="0" fontId="0" fillId="0" borderId="0" xfId="72" applyBorder="1" applyAlignment="1">
      <alignment horizontal="center" vertical="center"/>
      <protection/>
    </xf>
    <xf numFmtId="0" fontId="8" fillId="0" borderId="0" xfId="48" applyAlignment="1" applyProtection="1">
      <alignment/>
      <protection/>
    </xf>
    <xf numFmtId="0" fontId="3" fillId="4" borderId="27" xfId="72" applyFont="1" applyFill="1" applyBorder="1" applyAlignment="1">
      <alignment horizontal="center" vertical="center"/>
      <protection/>
    </xf>
    <xf numFmtId="0" fontId="3" fillId="4" borderId="64" xfId="72" applyFont="1" applyFill="1" applyBorder="1" applyAlignment="1">
      <alignment horizontal="center" vertical="center"/>
      <protection/>
    </xf>
    <xf numFmtId="0" fontId="0" fillId="0" borderId="0" xfId="72" applyAlignment="1">
      <alignment horizontal="center" vertical="center"/>
      <protection/>
    </xf>
    <xf numFmtId="0" fontId="3" fillId="34" borderId="10" xfId="72" applyFont="1" applyFill="1" applyBorder="1">
      <alignment/>
      <protection/>
    </xf>
    <xf numFmtId="0" fontId="3" fillId="34" borderId="10" xfId="72" applyFont="1" applyFill="1" applyBorder="1" applyAlignment="1">
      <alignment horizontal="center" vertical="center"/>
      <protection/>
    </xf>
    <xf numFmtId="0" fontId="3" fillId="34" borderId="10" xfId="72" applyFont="1" applyFill="1" applyBorder="1" applyAlignment="1">
      <alignment horizontal="center" vertical="center" wrapText="1"/>
      <protection/>
    </xf>
    <xf numFmtId="0" fontId="3" fillId="0" borderId="51" xfId="72" applyFont="1" applyBorder="1" applyAlignment="1">
      <alignment horizontal="center" vertical="top" wrapText="1"/>
      <protection/>
    </xf>
    <xf numFmtId="0" fontId="3" fillId="0" borderId="17" xfId="72" applyFont="1" applyBorder="1" applyAlignment="1">
      <alignment horizontal="center" vertical="top" wrapText="1"/>
      <protection/>
    </xf>
    <xf numFmtId="0" fontId="3" fillId="0" borderId="110" xfId="72" applyFont="1" applyBorder="1" applyAlignment="1">
      <alignment horizontal="center" vertical="top" wrapText="1"/>
      <protection/>
    </xf>
    <xf numFmtId="0" fontId="3" fillId="34" borderId="10" xfId="72" applyFont="1" applyFill="1" applyBorder="1" applyAlignment="1">
      <alignment horizontal="left" vertical="center"/>
      <protection/>
    </xf>
    <xf numFmtId="0" fontId="0" fillId="34" borderId="10" xfId="72" applyFill="1" applyBorder="1" applyAlignment="1">
      <alignment horizontal="center" vertical="center" wrapText="1"/>
      <protection/>
    </xf>
    <xf numFmtId="0" fontId="3" fillId="0" borderId="43" xfId="72" applyFont="1" applyBorder="1" applyAlignment="1">
      <alignment horizontal="center" vertical="top" wrapText="1"/>
      <protection/>
    </xf>
    <xf numFmtId="0" fontId="3" fillId="0" borderId="111" xfId="72" applyFont="1" applyBorder="1" applyAlignment="1">
      <alignment horizontal="center" vertical="top" wrapText="1"/>
      <protection/>
    </xf>
    <xf numFmtId="0" fontId="0" fillId="34" borderId="10" xfId="72" applyFill="1" applyBorder="1">
      <alignment/>
      <protection/>
    </xf>
    <xf numFmtId="190" fontId="0" fillId="34" borderId="10" xfId="72" applyNumberFormat="1" applyFill="1" applyBorder="1" applyAlignment="1">
      <alignment horizontal="center"/>
      <protection/>
    </xf>
    <xf numFmtId="181" fontId="0" fillId="34" borderId="10" xfId="54" applyNumberFormat="1" applyFill="1" applyBorder="1" applyAlignment="1">
      <alignment/>
    </xf>
    <xf numFmtId="9" fontId="0" fillId="34" borderId="10" xfId="77" applyFill="1" applyBorder="1" applyAlignment="1">
      <alignment/>
    </xf>
    <xf numFmtId="10" fontId="0" fillId="34" borderId="10" xfId="77" applyNumberFormat="1" applyFill="1" applyBorder="1" applyAlignment="1">
      <alignment horizontal="center" vertical="top" wrapText="1"/>
    </xf>
    <xf numFmtId="181" fontId="0" fillId="0" borderId="43" xfId="72" applyNumberFormat="1" applyBorder="1" applyAlignment="1">
      <alignment horizontal="justify" vertical="top" wrapText="1"/>
      <protection/>
    </xf>
    <xf numFmtId="181" fontId="0" fillId="0" borderId="10" xfId="72" applyNumberFormat="1" applyBorder="1" applyAlignment="1">
      <alignment horizontal="justify" vertical="top" wrapText="1"/>
      <protection/>
    </xf>
    <xf numFmtId="181" fontId="0" fillId="0" borderId="111" xfId="72" applyNumberFormat="1" applyBorder="1" applyAlignment="1">
      <alignment horizontal="justify" vertical="top" wrapText="1"/>
      <protection/>
    </xf>
    <xf numFmtId="9" fontId="0" fillId="0" borderId="0" xfId="72" applyNumberFormat="1">
      <alignment/>
      <protection/>
    </xf>
    <xf numFmtId="0" fontId="3" fillId="32" borderId="10" xfId="72" applyFont="1" applyFill="1" applyBorder="1">
      <alignment/>
      <protection/>
    </xf>
    <xf numFmtId="190" fontId="3" fillId="32" borderId="10" xfId="72" applyNumberFormat="1" applyFont="1" applyFill="1" applyBorder="1" applyAlignment="1">
      <alignment horizontal="center"/>
      <protection/>
    </xf>
    <xf numFmtId="181" fontId="3" fillId="32" borderId="10" xfId="54" applyNumberFormat="1" applyFont="1" applyFill="1" applyBorder="1" applyAlignment="1">
      <alignment/>
    </xf>
    <xf numFmtId="9" fontId="3" fillId="32" borderId="10" xfId="77" applyFont="1" applyFill="1" applyBorder="1" applyAlignment="1">
      <alignment/>
    </xf>
    <xf numFmtId="10" fontId="3" fillId="32" borderId="10" xfId="77" applyNumberFormat="1" applyFont="1" applyFill="1" applyBorder="1" applyAlignment="1">
      <alignment horizontal="center" vertical="top" wrapText="1"/>
    </xf>
    <xf numFmtId="181" fontId="3" fillId="0" borderId="47" xfId="72" applyNumberFormat="1" applyFont="1" applyBorder="1" applyAlignment="1">
      <alignment horizontal="justify" vertical="top" wrapText="1"/>
      <protection/>
    </xf>
    <xf numFmtId="181" fontId="3" fillId="0" borderId="48" xfId="72" applyNumberFormat="1" applyFont="1" applyBorder="1" applyAlignment="1">
      <alignment horizontal="justify" vertical="top" wrapText="1"/>
      <protection/>
    </xf>
    <xf numFmtId="181" fontId="3" fillId="0" borderId="112" xfId="72" applyNumberFormat="1" applyFont="1" applyBorder="1" applyAlignment="1">
      <alignment horizontal="justify" vertical="top" wrapText="1"/>
      <protection/>
    </xf>
    <xf numFmtId="0" fontId="3" fillId="0" borderId="0" xfId="72" applyFont="1" applyBorder="1">
      <alignment/>
      <protection/>
    </xf>
    <xf numFmtId="190" fontId="0" fillId="0" borderId="0" xfId="72" applyNumberFormat="1" applyFill="1" applyBorder="1" applyAlignment="1">
      <alignment horizontal="center"/>
      <protection/>
    </xf>
    <xf numFmtId="190" fontId="0" fillId="0" borderId="0" xfId="72" applyNumberFormat="1" applyBorder="1" applyAlignment="1">
      <alignment horizontal="center"/>
      <protection/>
    </xf>
    <xf numFmtId="181" fontId="3" fillId="34" borderId="0" xfId="54" applyNumberFormat="1" applyFont="1" applyFill="1" applyBorder="1" applyAlignment="1">
      <alignment/>
    </xf>
    <xf numFmtId="9" fontId="3" fillId="34" borderId="0" xfId="77" applyFont="1" applyFill="1" applyBorder="1" applyAlignment="1">
      <alignment/>
    </xf>
    <xf numFmtId="10" fontId="3" fillId="34" borderId="0" xfId="77" applyNumberFormat="1" applyFont="1" applyFill="1" applyBorder="1" applyAlignment="1">
      <alignment horizontal="center" vertical="top" wrapText="1"/>
    </xf>
    <xf numFmtId="181" fontId="3" fillId="0" borderId="0" xfId="72" applyNumberFormat="1" applyFont="1" applyBorder="1" applyAlignment="1">
      <alignment horizontal="justify" vertical="top" wrapText="1"/>
      <protection/>
    </xf>
    <xf numFmtId="0" fontId="0" fillId="0" borderId="0" xfId="72" applyBorder="1">
      <alignment/>
      <protection/>
    </xf>
    <xf numFmtId="9" fontId="0" fillId="0" borderId="0" xfId="77" applyFont="1" applyBorder="1" applyAlignment="1">
      <alignment/>
    </xf>
    <xf numFmtId="181" fontId="3" fillId="0" borderId="0" xfId="54" applyNumberFormat="1" applyFont="1" applyBorder="1" applyAlignment="1">
      <alignment/>
    </xf>
    <xf numFmtId="181" fontId="3" fillId="0" borderId="0" xfId="54" applyNumberFormat="1" applyFont="1" applyFill="1" applyBorder="1" applyAlignment="1">
      <alignment/>
    </xf>
    <xf numFmtId="0" fontId="3" fillId="0" borderId="51" xfId="72" applyFont="1" applyFill="1" applyBorder="1" applyAlignment="1">
      <alignment horizontal="center" vertical="top" wrapText="1"/>
      <protection/>
    </xf>
    <xf numFmtId="0" fontId="3" fillId="0" borderId="17" xfId="72" applyFont="1" applyFill="1" applyBorder="1" applyAlignment="1">
      <alignment horizontal="center" vertical="top" wrapText="1"/>
      <protection/>
    </xf>
    <xf numFmtId="0" fontId="3" fillId="0" borderId="110" xfId="72" applyFont="1" applyFill="1" applyBorder="1" applyAlignment="1">
      <alignment horizontal="center" vertical="top" wrapText="1"/>
      <protection/>
    </xf>
    <xf numFmtId="0" fontId="3" fillId="0" borderId="43" xfId="72" applyFont="1" applyFill="1" applyBorder="1" applyAlignment="1">
      <alignment horizontal="center" vertical="top" wrapText="1"/>
      <protection/>
    </xf>
    <xf numFmtId="0" fontId="3" fillId="0" borderId="111" xfId="72" applyFont="1" applyFill="1" applyBorder="1" applyAlignment="1">
      <alignment horizontal="center" vertical="top" wrapText="1"/>
      <protection/>
    </xf>
    <xf numFmtId="9" fontId="0" fillId="34" borderId="10" xfId="77" applyNumberFormat="1" applyFill="1" applyBorder="1" applyAlignment="1">
      <alignment/>
    </xf>
    <xf numFmtId="10" fontId="0" fillId="34" borderId="10" xfId="77" applyNumberFormat="1" applyFont="1" applyFill="1" applyBorder="1" applyAlignment="1">
      <alignment horizontal="center" vertical="top" wrapText="1"/>
    </xf>
    <xf numFmtId="181" fontId="0" fillId="0" borderId="43" xfId="72" applyNumberFormat="1" applyFill="1" applyBorder="1" applyAlignment="1">
      <alignment horizontal="justify" vertical="top" wrapText="1"/>
      <protection/>
    </xf>
    <xf numFmtId="181" fontId="0" fillId="0" borderId="10" xfId="72" applyNumberFormat="1" applyFill="1" applyBorder="1" applyAlignment="1">
      <alignment horizontal="justify" vertical="top" wrapText="1"/>
      <protection/>
    </xf>
    <xf numFmtId="181" fontId="0" fillId="0" borderId="111" xfId="72" applyNumberFormat="1" applyFill="1" applyBorder="1" applyAlignment="1">
      <alignment horizontal="justify" vertical="top" wrapText="1"/>
      <protection/>
    </xf>
    <xf numFmtId="190" fontId="0" fillId="32" borderId="10" xfId="72" applyNumberFormat="1" applyFill="1" applyBorder="1" applyAlignment="1">
      <alignment horizontal="center"/>
      <protection/>
    </xf>
    <xf numFmtId="181" fontId="3" fillId="32" borderId="10" xfId="54" applyNumberFormat="1" applyFont="1" applyFill="1" applyBorder="1" applyAlignment="1">
      <alignment horizontal="center"/>
    </xf>
    <xf numFmtId="9" fontId="3" fillId="32" borderId="10" xfId="77" applyFont="1" applyFill="1" applyBorder="1" applyAlignment="1">
      <alignment horizontal="center" vertical="top" wrapText="1"/>
    </xf>
    <xf numFmtId="181" fontId="3" fillId="0" borderId="47" xfId="72" applyNumberFormat="1" applyFont="1" applyFill="1" applyBorder="1" applyAlignment="1">
      <alignment horizontal="justify" vertical="top" wrapText="1"/>
      <protection/>
    </xf>
    <xf numFmtId="181" fontId="3" fillId="0" borderId="48" xfId="72" applyNumberFormat="1" applyFont="1" applyFill="1" applyBorder="1" applyAlignment="1">
      <alignment horizontal="justify" vertical="top" wrapText="1"/>
      <protection/>
    </xf>
    <xf numFmtId="181" fontId="3" fillId="0" borderId="112" xfId="72" applyNumberFormat="1" applyFont="1" applyFill="1" applyBorder="1" applyAlignment="1">
      <alignment horizontal="justify" vertical="top" wrapText="1"/>
      <protection/>
    </xf>
    <xf numFmtId="0" fontId="0" fillId="34" borderId="0" xfId="72" applyFill="1">
      <alignment/>
      <protection/>
    </xf>
    <xf numFmtId="0" fontId="0" fillId="34" borderId="0" xfId="72" applyFill="1" applyBorder="1" applyAlignment="1">
      <alignment horizontal="center" vertical="center"/>
      <protection/>
    </xf>
    <xf numFmtId="0" fontId="0" fillId="34" borderId="0" xfId="72" applyFill="1" applyAlignment="1">
      <alignment horizontal="center" vertical="top" wrapText="1"/>
      <protection/>
    </xf>
    <xf numFmtId="0" fontId="3" fillId="36" borderId="113" xfId="72" applyFont="1" applyFill="1" applyBorder="1" applyAlignment="1">
      <alignment horizontal="center" vertical="center"/>
      <protection/>
    </xf>
    <xf numFmtId="0" fontId="0" fillId="36" borderId="10" xfId="72" applyFont="1" applyFill="1" applyBorder="1">
      <alignment/>
      <protection/>
    </xf>
    <xf numFmtId="0" fontId="0" fillId="36" borderId="10" xfId="72" applyFont="1" applyFill="1" applyBorder="1" applyAlignment="1">
      <alignment horizontal="center" vertical="center"/>
      <protection/>
    </xf>
    <xf numFmtId="181" fontId="3" fillId="36" borderId="114" xfId="54" applyNumberFormat="1" applyFont="1" applyFill="1" applyBorder="1" applyAlignment="1">
      <alignment horizontal="center" vertical="center"/>
    </xf>
    <xf numFmtId="181" fontId="3" fillId="36" borderId="113" xfId="54" applyNumberFormat="1" applyFont="1" applyFill="1" applyBorder="1" applyAlignment="1">
      <alignment horizontal="center" vertical="center"/>
    </xf>
    <xf numFmtId="9" fontId="3" fillId="36" borderId="10" xfId="77" applyFont="1" applyFill="1" applyBorder="1" applyAlignment="1">
      <alignment horizontal="center" vertical="top" wrapText="1"/>
    </xf>
    <xf numFmtId="181" fontId="3" fillId="0" borderId="10" xfId="72" applyNumberFormat="1" applyFont="1" applyBorder="1" applyAlignment="1">
      <alignment horizontal="justify" vertical="top" wrapText="1"/>
      <protection/>
    </xf>
    <xf numFmtId="181" fontId="3" fillId="37" borderId="10" xfId="72" applyNumberFormat="1" applyFont="1" applyFill="1" applyBorder="1" applyAlignment="1">
      <alignment horizontal="justify" vertical="top" wrapText="1"/>
      <protection/>
    </xf>
    <xf numFmtId="181" fontId="3" fillId="34" borderId="0" xfId="54" applyNumberFormat="1" applyFont="1" applyFill="1" applyBorder="1" applyAlignment="1">
      <alignment horizontal="center" vertical="center"/>
    </xf>
    <xf numFmtId="181" fontId="3" fillId="32" borderId="0" xfId="54" applyNumberFormat="1" applyFont="1" applyFill="1" applyBorder="1" applyAlignment="1">
      <alignment horizontal="center" vertical="center"/>
    </xf>
    <xf numFmtId="9" fontId="3" fillId="0" borderId="0" xfId="77" applyFont="1" applyBorder="1" applyAlignment="1">
      <alignment horizontal="center" vertical="top" wrapText="1"/>
    </xf>
    <xf numFmtId="181" fontId="3" fillId="37" borderId="0" xfId="72" applyNumberFormat="1" applyFont="1" applyFill="1" applyBorder="1" applyAlignment="1">
      <alignment horizontal="justify" vertical="top" wrapText="1"/>
      <protection/>
    </xf>
    <xf numFmtId="0" fontId="3" fillId="37" borderId="0" xfId="72" applyFont="1" applyFill="1" applyAlignment="1">
      <alignment horizontal="center"/>
      <protection/>
    </xf>
    <xf numFmtId="190" fontId="0" fillId="0" borderId="0" xfId="72" applyNumberFormat="1" applyBorder="1" applyAlignment="1">
      <alignment horizontal="center" vertical="center"/>
      <protection/>
    </xf>
    <xf numFmtId="0" fontId="3" fillId="34" borderId="0" xfId="72" applyFont="1" applyFill="1" applyAlignment="1">
      <alignment horizontal="center"/>
      <protection/>
    </xf>
    <xf numFmtId="0" fontId="3" fillId="32" borderId="85" xfId="72" applyFont="1" applyFill="1" applyBorder="1">
      <alignment/>
      <protection/>
    </xf>
    <xf numFmtId="190" fontId="0" fillId="32" borderId="21" xfId="72" applyNumberFormat="1" applyFill="1" applyBorder="1" applyAlignment="1">
      <alignment horizontal="center"/>
      <protection/>
    </xf>
    <xf numFmtId="181" fontId="3" fillId="32" borderId="24" xfId="54" applyNumberFormat="1" applyFont="1" applyFill="1" applyBorder="1" applyAlignment="1">
      <alignment horizontal="center"/>
    </xf>
    <xf numFmtId="181" fontId="3" fillId="32" borderId="38" xfId="54" applyNumberFormat="1" applyFont="1" applyFill="1" applyBorder="1" applyAlignment="1">
      <alignment/>
    </xf>
    <xf numFmtId="181" fontId="3" fillId="32" borderId="20" xfId="54" applyNumberFormat="1" applyFont="1" applyFill="1" applyBorder="1" applyAlignment="1">
      <alignment/>
    </xf>
    <xf numFmtId="181" fontId="3" fillId="32" borderId="85" xfId="54" applyNumberFormat="1" applyFont="1" applyFill="1" applyBorder="1" applyAlignment="1">
      <alignment/>
    </xf>
    <xf numFmtId="9" fontId="3" fillId="32" borderId="20" xfId="77" applyFont="1" applyFill="1" applyBorder="1" applyAlignment="1">
      <alignment/>
    </xf>
    <xf numFmtId="181" fontId="3" fillId="32" borderId="23" xfId="54" applyNumberFormat="1" applyFont="1" applyFill="1" applyBorder="1" applyAlignment="1">
      <alignment/>
    </xf>
    <xf numFmtId="9" fontId="3" fillId="32" borderId="20" xfId="77" applyFont="1" applyFill="1" applyBorder="1" applyAlignment="1">
      <alignment horizontal="center" vertical="top" wrapText="1"/>
    </xf>
    <xf numFmtId="0" fontId="0" fillId="0" borderId="54" xfId="72" applyBorder="1" applyAlignment="1">
      <alignment horizontal="center" vertical="center"/>
      <protection/>
    </xf>
    <xf numFmtId="0" fontId="3" fillId="2" borderId="10" xfId="72" applyFont="1" applyFill="1" applyBorder="1" applyAlignment="1">
      <alignment horizontal="center" vertical="center"/>
      <protection/>
    </xf>
    <xf numFmtId="0" fontId="44" fillId="2" borderId="10" xfId="72" applyFont="1" applyFill="1" applyBorder="1">
      <alignment/>
      <protection/>
    </xf>
    <xf numFmtId="0" fontId="0" fillId="2" borderId="10" xfId="72" applyFill="1" applyBorder="1">
      <alignment/>
      <protection/>
    </xf>
    <xf numFmtId="0" fontId="0" fillId="2" borderId="10" xfId="72" applyFill="1" applyBorder="1" applyAlignment="1">
      <alignment horizontal="center" vertical="center"/>
      <protection/>
    </xf>
    <xf numFmtId="181" fontId="3" fillId="2" borderId="10" xfId="54" applyNumberFormat="1" applyFont="1" applyFill="1" applyBorder="1" applyAlignment="1">
      <alignment horizontal="center" vertical="center"/>
    </xf>
    <xf numFmtId="9" fontId="3" fillId="2" borderId="10" xfId="77" applyFont="1" applyFill="1" applyBorder="1" applyAlignment="1">
      <alignment horizontal="center" vertical="top" wrapText="1"/>
    </xf>
    <xf numFmtId="190" fontId="3" fillId="0" borderId="0" xfId="77" applyNumberFormat="1" applyFont="1" applyBorder="1" applyAlignment="1">
      <alignment horizontal="center" vertical="top" wrapText="1"/>
    </xf>
    <xf numFmtId="0" fontId="3" fillId="34" borderId="24" xfId="72" applyFont="1" applyFill="1" applyBorder="1" applyAlignment="1">
      <alignment horizontal="center" vertical="center"/>
      <protection/>
    </xf>
    <xf numFmtId="0" fontId="3" fillId="34" borderId="38" xfId="72" applyFont="1" applyFill="1" applyBorder="1" applyAlignment="1">
      <alignment horizontal="center" vertical="center"/>
      <protection/>
    </xf>
    <xf numFmtId="0" fontId="3" fillId="34" borderId="29" xfId="72" applyFont="1" applyFill="1" applyBorder="1" applyAlignment="1">
      <alignment horizontal="center" vertical="center" wrapText="1"/>
      <protection/>
    </xf>
    <xf numFmtId="0" fontId="3" fillId="34" borderId="0" xfId="72" applyFont="1" applyFill="1" applyBorder="1" applyAlignment="1">
      <alignment horizontal="center" vertical="center" wrapText="1"/>
      <protection/>
    </xf>
    <xf numFmtId="0" fontId="3" fillId="34" borderId="101" xfId="72" applyFont="1" applyFill="1" applyBorder="1" applyAlignment="1">
      <alignment horizontal="center" vertical="center" wrapText="1"/>
      <protection/>
    </xf>
    <xf numFmtId="0" fontId="3" fillId="34" borderId="64" xfId="72" applyFont="1" applyFill="1" applyBorder="1" applyAlignment="1">
      <alignment horizontal="center" vertical="center" wrapText="1"/>
      <protection/>
    </xf>
    <xf numFmtId="0" fontId="3" fillId="34" borderId="23" xfId="72" applyFont="1" applyFill="1" applyBorder="1" applyAlignment="1">
      <alignment horizontal="center" vertical="center" wrapText="1"/>
      <protection/>
    </xf>
    <xf numFmtId="0" fontId="0" fillId="34" borderId="0" xfId="72" applyFill="1" applyBorder="1" applyAlignment="1">
      <alignment horizontal="center" vertical="center" wrapText="1"/>
      <protection/>
    </xf>
    <xf numFmtId="0" fontId="0" fillId="34" borderId="10" xfId="72" applyFill="1" applyBorder="1" applyAlignment="1">
      <alignment/>
      <protection/>
    </xf>
    <xf numFmtId="190" fontId="0" fillId="34" borderId="10" xfId="72" applyNumberFormat="1" applyFill="1" applyBorder="1" applyAlignment="1">
      <alignment/>
      <protection/>
    </xf>
    <xf numFmtId="181" fontId="0" fillId="34" borderId="10" xfId="54" applyNumberFormat="1" applyFill="1" applyBorder="1" applyAlignment="1">
      <alignment/>
    </xf>
    <xf numFmtId="181" fontId="0" fillId="34" borderId="39" xfId="54" applyNumberFormat="1" applyFill="1" applyBorder="1" applyAlignment="1">
      <alignment/>
    </xf>
    <xf numFmtId="181" fontId="0" fillId="34" borderId="66" xfId="54" applyNumberFormat="1" applyFill="1" applyBorder="1" applyAlignment="1">
      <alignment/>
    </xf>
    <xf numFmtId="181" fontId="0" fillId="34" borderId="29" xfId="54" applyNumberFormat="1" applyFill="1" applyBorder="1" applyAlignment="1">
      <alignment/>
    </xf>
    <xf numFmtId="9" fontId="0" fillId="34" borderId="0" xfId="77" applyNumberFormat="1" applyFill="1" applyBorder="1" applyAlignment="1">
      <alignment/>
    </xf>
    <xf numFmtId="181" fontId="0" fillId="34" borderId="0" xfId="54" applyNumberFormat="1" applyFill="1" applyBorder="1" applyAlignment="1">
      <alignment/>
    </xf>
    <xf numFmtId="10" fontId="0" fillId="34" borderId="0" xfId="77" applyNumberFormat="1" applyFont="1" applyFill="1" applyBorder="1" applyAlignment="1">
      <alignment horizontal="center" vertical="top" wrapText="1"/>
    </xf>
    <xf numFmtId="0" fontId="3" fillId="32" borderId="10" xfId="72" applyFont="1" applyFill="1" applyBorder="1" applyAlignment="1">
      <alignment/>
      <protection/>
    </xf>
    <xf numFmtId="190" fontId="0" fillId="32" borderId="10" xfId="72" applyNumberFormat="1" applyFill="1" applyBorder="1" applyAlignment="1">
      <alignment/>
      <protection/>
    </xf>
    <xf numFmtId="3" fontId="0" fillId="32" borderId="10" xfId="72" applyNumberFormat="1" applyFill="1" applyBorder="1" applyAlignment="1">
      <alignment/>
      <protection/>
    </xf>
    <xf numFmtId="190" fontId="0" fillId="34" borderId="101" xfId="72" applyNumberFormat="1" applyFill="1" applyBorder="1" applyAlignment="1">
      <alignment horizontal="center"/>
      <protection/>
    </xf>
    <xf numFmtId="190" fontId="0" fillId="34" borderId="90" xfId="72" applyNumberFormat="1" applyFill="1" applyBorder="1" applyAlignment="1">
      <alignment horizontal="center"/>
      <protection/>
    </xf>
    <xf numFmtId="190" fontId="0" fillId="34" borderId="115" xfId="72" applyNumberFormat="1" applyFill="1" applyBorder="1" applyAlignment="1">
      <alignment horizontal="center"/>
      <protection/>
    </xf>
    <xf numFmtId="190" fontId="0" fillId="34" borderId="0" xfId="72" applyNumberFormat="1" applyFill="1" applyBorder="1" applyAlignment="1">
      <alignment horizontal="center"/>
      <protection/>
    </xf>
    <xf numFmtId="0" fontId="3" fillId="34" borderId="0" xfId="72" applyFont="1" applyFill="1" applyBorder="1">
      <alignment/>
      <protection/>
    </xf>
    <xf numFmtId="0" fontId="0" fillId="34" borderId="0" xfId="72" applyFill="1" applyBorder="1">
      <alignment/>
      <protection/>
    </xf>
    <xf numFmtId="190" fontId="0" fillId="34" borderId="10" xfId="72" applyNumberFormat="1" applyFill="1" applyBorder="1" applyAlignment="1">
      <alignment vertical="center"/>
      <protection/>
    </xf>
    <xf numFmtId="181" fontId="0" fillId="34" borderId="10" xfId="54" applyNumberFormat="1" applyFill="1" applyBorder="1" applyAlignment="1">
      <alignment vertical="center"/>
    </xf>
    <xf numFmtId="190" fontId="0" fillId="32" borderId="10" xfId="72" applyNumberFormat="1" applyFill="1" applyBorder="1" applyAlignment="1">
      <alignment vertical="center"/>
      <protection/>
    </xf>
    <xf numFmtId="4" fontId="0" fillId="32" borderId="10" xfId="72" applyNumberFormat="1" applyFill="1" applyBorder="1" applyAlignment="1">
      <alignment vertical="center"/>
      <protection/>
    </xf>
    <xf numFmtId="0" fontId="3" fillId="35" borderId="10" xfId="72" applyFont="1" applyFill="1" applyBorder="1" applyAlignment="1">
      <alignment horizontal="center"/>
      <protection/>
    </xf>
    <xf numFmtId="0" fontId="3" fillId="35" borderId="10" xfId="72" applyFont="1" applyFill="1" applyBorder="1">
      <alignment/>
      <protection/>
    </xf>
    <xf numFmtId="0" fontId="3" fillId="35" borderId="10" xfId="72" applyFont="1" applyFill="1" applyBorder="1" applyAlignment="1">
      <alignment horizontal="center" vertical="center"/>
      <protection/>
    </xf>
    <xf numFmtId="181" fontId="3" fillId="35" borderId="10" xfId="54" applyNumberFormat="1" applyFont="1" applyFill="1" applyBorder="1" applyAlignment="1">
      <alignment horizontal="center" vertical="center"/>
    </xf>
    <xf numFmtId="190" fontId="3" fillId="35" borderId="10" xfId="72" applyNumberFormat="1" applyFont="1" applyFill="1" applyBorder="1" applyAlignment="1">
      <alignment horizontal="center"/>
      <protection/>
    </xf>
    <xf numFmtId="0" fontId="3" fillId="38" borderId="10" xfId="72" applyFont="1" applyFill="1" applyBorder="1" applyAlignment="1">
      <alignment horizontal="center"/>
      <protection/>
    </xf>
    <xf numFmtId="0" fontId="0" fillId="38" borderId="10" xfId="72" applyFill="1" applyBorder="1">
      <alignment/>
      <protection/>
    </xf>
    <xf numFmtId="0" fontId="0" fillId="38" borderId="10" xfId="72" applyFill="1" applyBorder="1" applyAlignment="1">
      <alignment horizontal="center" vertical="center"/>
      <protection/>
    </xf>
    <xf numFmtId="181" fontId="3" fillId="38" borderId="10" xfId="54" applyNumberFormat="1" applyFont="1" applyFill="1" applyBorder="1" applyAlignment="1">
      <alignment horizontal="center" vertical="center"/>
    </xf>
    <xf numFmtId="190" fontId="0" fillId="0" borderId="0" xfId="72" applyNumberFormat="1" applyBorder="1">
      <alignment/>
      <protection/>
    </xf>
    <xf numFmtId="181" fontId="0" fillId="0" borderId="0" xfId="72" applyNumberFormat="1" applyFill="1">
      <alignment/>
      <protection/>
    </xf>
    <xf numFmtId="0" fontId="3" fillId="37" borderId="0" xfId="72" applyFont="1" applyFill="1" applyAlignment="1">
      <alignment horizontal="left"/>
      <protection/>
    </xf>
    <xf numFmtId="0" fontId="3" fillId="0" borderId="0" xfId="72" applyFont="1" applyFill="1" applyBorder="1" applyAlignment="1">
      <alignment horizontal="center"/>
      <protection/>
    </xf>
    <xf numFmtId="0" fontId="3" fillId="0" borderId="0" xfId="72" applyFont="1" applyFill="1" applyAlignment="1">
      <alignment horizontal="center"/>
      <protection/>
    </xf>
    <xf numFmtId="0" fontId="3" fillId="0" borderId="50" xfId="72" applyFont="1" applyBorder="1" applyAlignment="1">
      <alignment horizontal="center" vertical="top" wrapText="1"/>
      <protection/>
    </xf>
    <xf numFmtId="0" fontId="0" fillId="34" borderId="10" xfId="72" applyFont="1" applyFill="1" applyBorder="1">
      <alignment/>
      <protection/>
    </xf>
    <xf numFmtId="190" fontId="0" fillId="34" borderId="10" xfId="72" applyNumberFormat="1" applyFill="1" applyBorder="1" applyAlignment="1">
      <alignment horizontal="right"/>
      <protection/>
    </xf>
    <xf numFmtId="181" fontId="3" fillId="34" borderId="10" xfId="54" applyNumberFormat="1" applyFont="1" applyFill="1" applyBorder="1" applyAlignment="1">
      <alignment horizontal="right"/>
    </xf>
    <xf numFmtId="181" fontId="3" fillId="34" borderId="10" xfId="72" applyNumberFormat="1" applyFont="1" applyFill="1" applyBorder="1" applyAlignment="1">
      <alignment horizontal="right"/>
      <protection/>
    </xf>
    <xf numFmtId="9" fontId="3" fillId="34" borderId="10" xfId="77" applyFont="1" applyFill="1" applyBorder="1" applyAlignment="1">
      <alignment horizontal="right" vertical="top" wrapText="1"/>
    </xf>
    <xf numFmtId="181" fontId="3" fillId="32" borderId="46" xfId="72" applyNumberFormat="1" applyFont="1" applyFill="1" applyBorder="1" applyAlignment="1">
      <alignment horizontal="justify" vertical="top" wrapText="1"/>
      <protection/>
    </xf>
    <xf numFmtId="181" fontId="3" fillId="32" borderId="0" xfId="72" applyNumberFormat="1" applyFont="1" applyFill="1" applyBorder="1" applyAlignment="1">
      <alignment horizontal="justify" vertical="top" wrapText="1"/>
      <protection/>
    </xf>
    <xf numFmtId="190" fontId="0" fillId="34" borderId="10" xfId="72" applyNumberFormat="1" applyFill="1" applyBorder="1" applyAlignment="1">
      <alignment horizontal="right" vertical="center" wrapText="1"/>
      <protection/>
    </xf>
    <xf numFmtId="3" fontId="0" fillId="34" borderId="10" xfId="72" applyNumberFormat="1" applyFill="1" applyBorder="1" applyAlignment="1">
      <alignment horizontal="right" vertical="center" wrapText="1"/>
      <protection/>
    </xf>
    <xf numFmtId="181" fontId="3" fillId="34" borderId="10" xfId="54" applyNumberFormat="1" applyFont="1" applyFill="1" applyBorder="1" applyAlignment="1">
      <alignment horizontal="right" vertical="center" wrapText="1"/>
    </xf>
    <xf numFmtId="0" fontId="0" fillId="34" borderId="10" xfId="72" applyFill="1" applyBorder="1" applyAlignment="1">
      <alignment horizontal="right"/>
      <protection/>
    </xf>
    <xf numFmtId="3" fontId="0" fillId="34" borderId="10" xfId="72" applyNumberFormat="1" applyFill="1" applyBorder="1" applyAlignment="1">
      <alignment horizontal="right"/>
      <protection/>
    </xf>
    <xf numFmtId="181" fontId="3" fillId="34" borderId="10" xfId="72" applyNumberFormat="1" applyFont="1" applyFill="1" applyBorder="1" applyAlignment="1">
      <alignment horizontal="right" vertical="top" wrapText="1"/>
      <protection/>
    </xf>
    <xf numFmtId="0" fontId="0" fillId="34" borderId="0" xfId="72" applyFont="1" applyFill="1" applyBorder="1">
      <alignment/>
      <protection/>
    </xf>
    <xf numFmtId="190" fontId="0" fillId="34" borderId="0" xfId="72" applyNumberFormat="1" applyFill="1" applyBorder="1">
      <alignment/>
      <protection/>
    </xf>
    <xf numFmtId="0" fontId="0" fillId="34" borderId="0" xfId="72" applyFill="1" applyBorder="1" applyAlignment="1">
      <alignment/>
      <protection/>
    </xf>
    <xf numFmtId="181" fontId="3" fillId="34" borderId="0" xfId="72" applyNumberFormat="1" applyFont="1" applyFill="1" applyBorder="1" applyAlignment="1">
      <alignment vertical="top" wrapText="1"/>
      <protection/>
    </xf>
    <xf numFmtId="181" fontId="3" fillId="35" borderId="10" xfId="72" applyNumberFormat="1" applyFont="1" applyFill="1" applyBorder="1" applyAlignment="1">
      <alignment/>
      <protection/>
    </xf>
    <xf numFmtId="0" fontId="3" fillId="35" borderId="10" xfId="72" applyFont="1" applyFill="1" applyBorder="1" applyAlignment="1">
      <alignment/>
      <protection/>
    </xf>
    <xf numFmtId="0" fontId="0" fillId="0" borderId="0" xfId="72" applyFont="1">
      <alignment/>
      <protection/>
    </xf>
    <xf numFmtId="0" fontId="3" fillId="37" borderId="0" xfId="72" applyFont="1" applyFill="1" applyBorder="1">
      <alignment/>
      <protection/>
    </xf>
    <xf numFmtId="181" fontId="0" fillId="0" borderId="0" xfId="72" applyNumberFormat="1">
      <alignment/>
      <protection/>
    </xf>
    <xf numFmtId="0" fontId="3" fillId="34" borderId="0" xfId="72" applyFont="1" applyFill="1" applyBorder="1" applyAlignment="1">
      <alignment/>
      <protection/>
    </xf>
    <xf numFmtId="0" fontId="3" fillId="0" borderId="10" xfId="72" applyFont="1" applyFill="1" applyBorder="1" applyAlignment="1">
      <alignment horizontal="center"/>
      <protection/>
    </xf>
    <xf numFmtId="3" fontId="0" fillId="0" borderId="0" xfId="72" applyNumberFormat="1">
      <alignment/>
      <protection/>
    </xf>
    <xf numFmtId="187" fontId="0" fillId="0" borderId="10" xfId="72" applyNumberFormat="1" applyFill="1" applyBorder="1">
      <alignment/>
      <protection/>
    </xf>
    <xf numFmtId="187" fontId="0" fillId="0" borderId="10" xfId="72" applyNumberFormat="1" applyBorder="1">
      <alignment/>
      <protection/>
    </xf>
    <xf numFmtId="187" fontId="3" fillId="35" borderId="10" xfId="72" applyNumberFormat="1" applyFont="1" applyFill="1" applyBorder="1">
      <alignment/>
      <protection/>
    </xf>
    <xf numFmtId="187" fontId="3" fillId="0" borderId="10" xfId="72" applyNumberFormat="1" applyFont="1" applyBorder="1">
      <alignment/>
      <protection/>
    </xf>
    <xf numFmtId="189" fontId="3" fillId="32" borderId="64" xfId="68" applyNumberFormat="1" applyFont="1" applyFill="1" applyBorder="1" applyAlignment="1">
      <alignment/>
    </xf>
    <xf numFmtId="0" fontId="28" fillId="34" borderId="19" xfId="0" applyFont="1" applyFill="1" applyBorder="1" applyAlignment="1">
      <alignment horizontal="center"/>
    </xf>
    <xf numFmtId="0" fontId="4" fillId="34" borderId="20" xfId="0" applyFont="1" applyFill="1" applyBorder="1" applyAlignment="1">
      <alignment/>
    </xf>
    <xf numFmtId="0" fontId="4" fillId="34" borderId="19" xfId="0" applyFont="1" applyFill="1" applyBorder="1" applyAlignment="1">
      <alignment/>
    </xf>
    <xf numFmtId="0" fontId="4" fillId="34" borderId="30" xfId="0" applyFont="1" applyFill="1" applyBorder="1" applyAlignment="1">
      <alignment/>
    </xf>
    <xf numFmtId="0" fontId="4" fillId="34" borderId="23" xfId="0" applyFont="1" applyFill="1" applyBorder="1" applyAlignment="1">
      <alignment/>
    </xf>
    <xf numFmtId="10" fontId="4" fillId="34" borderId="20" xfId="75" applyNumberFormat="1" applyFont="1" applyFill="1" applyBorder="1" applyAlignment="1">
      <alignment/>
    </xf>
    <xf numFmtId="9" fontId="4" fillId="34" borderId="19" xfId="75" applyNumberFormat="1" applyFont="1" applyFill="1" applyBorder="1" applyAlignment="1">
      <alignment/>
    </xf>
    <xf numFmtId="0" fontId="4" fillId="34" borderId="0" xfId="0" applyFont="1" applyFill="1" applyAlignment="1">
      <alignment/>
    </xf>
    <xf numFmtId="0" fontId="28" fillId="34" borderId="0" xfId="0" applyFont="1" applyFill="1" applyBorder="1" applyAlignment="1">
      <alignment horizontal="center"/>
    </xf>
    <xf numFmtId="193" fontId="28" fillId="37" borderId="10" xfId="0" applyNumberFormat="1" applyFont="1" applyFill="1" applyBorder="1" applyAlignment="1">
      <alignment horizontal="center"/>
    </xf>
    <xf numFmtId="0" fontId="28" fillId="37" borderId="10" xfId="0" applyFont="1" applyFill="1" applyBorder="1" applyAlignment="1">
      <alignment/>
    </xf>
    <xf numFmtId="0" fontId="21" fillId="34" borderId="0" xfId="0" applyFont="1" applyFill="1" applyAlignment="1">
      <alignment/>
    </xf>
    <xf numFmtId="3" fontId="4" fillId="34" borderId="0" xfId="0" applyNumberFormat="1" applyFont="1" applyFill="1" applyBorder="1" applyAlignment="1">
      <alignment/>
    </xf>
    <xf numFmtId="181" fontId="21" fillId="34" borderId="0" xfId="51" applyNumberFormat="1" applyFont="1" applyFill="1" applyBorder="1" applyAlignment="1">
      <alignment/>
    </xf>
    <xf numFmtId="0" fontId="21" fillId="34" borderId="0" xfId="0" applyFont="1" applyFill="1" applyBorder="1" applyAlignment="1">
      <alignment/>
    </xf>
    <xf numFmtId="181" fontId="21" fillId="34" borderId="0" xfId="0" applyNumberFormat="1" applyFont="1" applyFill="1" applyBorder="1" applyAlignment="1">
      <alignment/>
    </xf>
    <xf numFmtId="178" fontId="3" fillId="39" borderId="64" xfId="68" applyFont="1" applyFill="1" applyBorder="1" applyAlignment="1">
      <alignment/>
    </xf>
    <xf numFmtId="10" fontId="28" fillId="39" borderId="26" xfId="75" applyNumberFormat="1" applyFont="1" applyFill="1" applyBorder="1" applyAlignment="1">
      <alignment/>
    </xf>
    <xf numFmtId="3" fontId="40" fillId="0" borderId="102" xfId="0" applyNumberFormat="1" applyFont="1" applyFill="1" applyBorder="1" applyAlignment="1">
      <alignment horizontal="centerContinuous"/>
    </xf>
    <xf numFmtId="0" fontId="28" fillId="0" borderId="102" xfId="0" applyFont="1" applyFill="1" applyBorder="1" applyAlignment="1">
      <alignment horizontal="centerContinuous"/>
    </xf>
    <xf numFmtId="0" fontId="40" fillId="0" borderId="102" xfId="0" applyFont="1" applyFill="1" applyBorder="1" applyAlignment="1">
      <alignment horizontal="centerContinuous"/>
    </xf>
    <xf numFmtId="0" fontId="28" fillId="0" borderId="116" xfId="0" applyFont="1" applyFill="1" applyBorder="1" applyAlignment="1">
      <alignment horizontal="center" vertical="center"/>
    </xf>
    <xf numFmtId="0" fontId="28" fillId="0" borderId="117" xfId="0" applyFont="1" applyFill="1" applyBorder="1" applyAlignment="1">
      <alignment horizontal="center" vertical="center" wrapText="1"/>
    </xf>
    <xf numFmtId="0" fontId="28" fillId="0" borderId="118" xfId="0" applyFont="1" applyFill="1" applyBorder="1" applyAlignment="1">
      <alignment horizontal="center" vertical="center" wrapText="1"/>
    </xf>
    <xf numFmtId="0" fontId="26" fillId="0" borderId="0" xfId="0" applyFont="1" applyFill="1" applyAlignment="1">
      <alignment/>
    </xf>
    <xf numFmtId="0" fontId="27" fillId="0" borderId="0" xfId="0" applyFont="1" applyFill="1" applyAlignment="1">
      <alignment/>
    </xf>
    <xf numFmtId="3" fontId="20" fillId="0" borderId="0" xfId="0" applyNumberFormat="1" applyFont="1" applyFill="1" applyAlignment="1">
      <alignment horizontal="right"/>
    </xf>
    <xf numFmtId="0" fontId="0" fillId="0" borderId="0" xfId="0" applyFill="1" applyAlignment="1">
      <alignment horizontal="center"/>
    </xf>
    <xf numFmtId="10" fontId="0" fillId="0" borderId="0" xfId="75" applyNumberFormat="1" applyFont="1" applyFill="1" applyAlignment="1">
      <alignment/>
    </xf>
    <xf numFmtId="3" fontId="0" fillId="0" borderId="0" xfId="0" applyNumberFormat="1" applyFill="1" applyAlignment="1">
      <alignment/>
    </xf>
    <xf numFmtId="181" fontId="20" fillId="0" borderId="0" xfId="51" applyNumberFormat="1" applyFont="1" applyFill="1" applyAlignment="1">
      <alignment horizontal="right"/>
    </xf>
    <xf numFmtId="3" fontId="7" fillId="0" borderId="0" xfId="0" applyNumberFormat="1" applyFont="1" applyFill="1" applyAlignment="1">
      <alignment horizontal="right"/>
    </xf>
    <xf numFmtId="10" fontId="1" fillId="0" borderId="0" xfId="0" applyNumberFormat="1" applyFont="1" applyFill="1" applyAlignment="1">
      <alignment/>
    </xf>
    <xf numFmtId="182" fontId="1" fillId="0" borderId="0" xfId="0" applyNumberFormat="1" applyFont="1" applyFill="1" applyAlignment="1">
      <alignment/>
    </xf>
    <xf numFmtId="0" fontId="2" fillId="0" borderId="0" xfId="0" applyFont="1" applyFill="1" applyAlignment="1">
      <alignment/>
    </xf>
    <xf numFmtId="0" fontId="3" fillId="0" borderId="0" xfId="0" applyFont="1" applyFill="1" applyAlignment="1">
      <alignment/>
    </xf>
    <xf numFmtId="10" fontId="2" fillId="0" borderId="0" xfId="0" applyNumberFormat="1" applyFont="1" applyFill="1" applyAlignment="1">
      <alignment/>
    </xf>
    <xf numFmtId="3" fontId="1" fillId="0" borderId="0" xfId="0" applyNumberFormat="1" applyFont="1" applyFill="1" applyAlignment="1">
      <alignment/>
    </xf>
    <xf numFmtId="0" fontId="4" fillId="0" borderId="119" xfId="0" applyFont="1" applyFill="1" applyBorder="1" applyAlignment="1">
      <alignment/>
    </xf>
    <xf numFmtId="0" fontId="4" fillId="0" borderId="98" xfId="0" applyFont="1" applyFill="1" applyBorder="1" applyAlignment="1">
      <alignment/>
    </xf>
    <xf numFmtId="0" fontId="4" fillId="0" borderId="120" xfId="0" applyFont="1" applyFill="1" applyBorder="1" applyAlignment="1">
      <alignment/>
    </xf>
    <xf numFmtId="0" fontId="1" fillId="0" borderId="0" xfId="0" applyFont="1" applyFill="1" applyAlignment="1">
      <alignment/>
    </xf>
    <xf numFmtId="179" fontId="1" fillId="0" borderId="0" xfId="51" applyFont="1" applyFill="1" applyAlignment="1">
      <alignment/>
    </xf>
    <xf numFmtId="9" fontId="1" fillId="0" borderId="0" xfId="75" applyFont="1" applyFill="1" applyAlignment="1">
      <alignment/>
    </xf>
    <xf numFmtId="0" fontId="33" fillId="0" borderId="0" xfId="0" applyFont="1" applyFill="1" applyAlignment="1">
      <alignment/>
    </xf>
    <xf numFmtId="0" fontId="34" fillId="0" borderId="0" xfId="0" applyFont="1" applyFill="1" applyAlignment="1">
      <alignment horizontal="center"/>
    </xf>
    <xf numFmtId="3" fontId="34" fillId="0" borderId="0" xfId="0" applyNumberFormat="1" applyFont="1" applyFill="1" applyAlignment="1">
      <alignment horizontal="center"/>
    </xf>
    <xf numFmtId="3" fontId="1" fillId="0" borderId="0" xfId="0" applyNumberFormat="1" applyFont="1" applyFill="1" applyAlignment="1">
      <alignment/>
    </xf>
    <xf numFmtId="3" fontId="33" fillId="0" borderId="0" xfId="0" applyNumberFormat="1" applyFont="1" applyFill="1" applyAlignment="1">
      <alignment/>
    </xf>
    <xf numFmtId="3" fontId="33" fillId="0" borderId="102" xfId="0" applyNumberFormat="1" applyFont="1" applyFill="1" applyBorder="1" applyAlignment="1">
      <alignment/>
    </xf>
    <xf numFmtId="3" fontId="34" fillId="0" borderId="0" xfId="0" applyNumberFormat="1" applyFont="1" applyFill="1" applyAlignment="1">
      <alignment/>
    </xf>
    <xf numFmtId="188" fontId="34" fillId="0" borderId="0" xfId="0" applyNumberFormat="1" applyFont="1" applyFill="1" applyAlignment="1">
      <alignment horizontal="right"/>
    </xf>
    <xf numFmtId="10" fontId="1" fillId="0" borderId="0" xfId="75" applyNumberFormat="1" applyFont="1" applyFill="1" applyAlignment="1">
      <alignment/>
    </xf>
    <xf numFmtId="181" fontId="0" fillId="34" borderId="10" xfId="51" applyNumberFormat="1" applyFont="1" applyFill="1" applyBorder="1" applyAlignment="1">
      <alignment/>
    </xf>
    <xf numFmtId="181" fontId="0" fillId="34" borderId="0" xfId="0" applyNumberFormat="1" applyFill="1" applyAlignment="1">
      <alignment/>
    </xf>
    <xf numFmtId="0" fontId="0" fillId="34" borderId="0" xfId="0" applyFill="1" applyAlignment="1">
      <alignment horizontal="right"/>
    </xf>
    <xf numFmtId="0" fontId="3" fillId="34" borderId="0" xfId="0" applyFont="1" applyFill="1" applyBorder="1" applyAlignment="1">
      <alignment horizontal="center" wrapText="1"/>
    </xf>
    <xf numFmtId="0" fontId="0" fillId="34" borderId="10" xfId="0" applyFont="1" applyFill="1" applyBorder="1" applyAlignment="1" applyProtection="1">
      <alignment horizontal="center"/>
      <protection locked="0"/>
    </xf>
    <xf numFmtId="0" fontId="51" fillId="0" borderId="0" xfId="0" applyFont="1" applyFill="1" applyBorder="1" applyAlignment="1">
      <alignment horizontal="center" wrapText="1"/>
    </xf>
    <xf numFmtId="182" fontId="51" fillId="0" borderId="0" xfId="75" applyNumberFormat="1" applyFont="1" applyFill="1" applyBorder="1" applyAlignment="1">
      <alignment horizontal="center" wrapText="1"/>
    </xf>
    <xf numFmtId="3" fontId="51" fillId="0" borderId="0" xfId="0" applyNumberFormat="1" applyFont="1" applyFill="1" applyBorder="1" applyAlignment="1">
      <alignment horizontal="right"/>
    </xf>
    <xf numFmtId="181" fontId="24" fillId="0" borderId="0" xfId="51" applyNumberFormat="1" applyFont="1" applyFill="1" applyBorder="1" applyAlignment="1">
      <alignment horizontal="right"/>
    </xf>
    <xf numFmtId="0" fontId="24" fillId="0" borderId="0" xfId="0" applyFont="1" applyFill="1" applyBorder="1" applyAlignment="1">
      <alignment horizontal="right"/>
    </xf>
    <xf numFmtId="181" fontId="51" fillId="0" borderId="0" xfId="51" applyNumberFormat="1" applyFont="1" applyFill="1" applyBorder="1" applyAlignment="1">
      <alignment horizontal="right"/>
    </xf>
    <xf numFmtId="0" fontId="24" fillId="0" borderId="0" xfId="0" applyFont="1" applyBorder="1" applyAlignment="1">
      <alignment/>
    </xf>
    <xf numFmtId="0" fontId="24" fillId="0" borderId="0" xfId="0" applyFont="1" applyAlignment="1">
      <alignment/>
    </xf>
    <xf numFmtId="180" fontId="3" fillId="0" borderId="10" xfId="0" applyNumberFormat="1" applyFont="1" applyBorder="1" applyAlignment="1">
      <alignment horizontal="right"/>
    </xf>
    <xf numFmtId="3" fontId="3" fillId="34" borderId="10" xfId="0" applyNumberFormat="1" applyFont="1" applyFill="1" applyBorder="1" applyAlignment="1">
      <alignment horizontal="right" vertical="center"/>
    </xf>
    <xf numFmtId="3" fontId="3" fillId="34" borderId="10" xfId="0" applyNumberFormat="1" applyFont="1" applyFill="1" applyBorder="1" applyAlignment="1" applyProtection="1">
      <alignment horizontal="right"/>
      <protection locked="0"/>
    </xf>
    <xf numFmtId="3" fontId="3" fillId="34" borderId="10" xfId="0" applyNumberFormat="1" applyFont="1" applyFill="1" applyBorder="1" applyAlignment="1">
      <alignment horizontal="right"/>
    </xf>
    <xf numFmtId="181" fontId="3" fillId="34" borderId="10" xfId="51" applyNumberFormat="1" applyFont="1" applyFill="1" applyBorder="1" applyAlignment="1">
      <alignment horizontal="right"/>
    </xf>
    <xf numFmtId="0" fontId="52" fillId="0" borderId="0" xfId="0" applyFont="1" applyFill="1" applyBorder="1" applyAlignment="1">
      <alignment horizontal="center" wrapText="1"/>
    </xf>
    <xf numFmtId="181" fontId="38" fillId="0" borderId="0" xfId="0" applyNumberFormat="1" applyFont="1" applyFill="1" applyBorder="1" applyAlignment="1">
      <alignment/>
    </xf>
    <xf numFmtId="0" fontId="38" fillId="0" borderId="0" xfId="0" applyFont="1" applyFill="1" applyBorder="1" applyAlignment="1">
      <alignment/>
    </xf>
    <xf numFmtId="181" fontId="0" fillId="0" borderId="0" xfId="51" applyNumberFormat="1" applyFont="1" applyFill="1" applyBorder="1" applyAlignment="1">
      <alignment horizontal="center" wrapText="1"/>
    </xf>
    <xf numFmtId="0" fontId="0" fillId="0" borderId="0" xfId="0" applyFont="1" applyFill="1" applyBorder="1" applyAlignment="1">
      <alignment horizontal="right" wrapText="1"/>
    </xf>
    <xf numFmtId="179" fontId="0" fillId="0" borderId="0" xfId="51" applyFont="1" applyFill="1" applyBorder="1" applyAlignment="1">
      <alignment horizontal="right" wrapText="1"/>
    </xf>
    <xf numFmtId="0" fontId="24" fillId="0" borderId="0" xfId="0" applyFont="1" applyFill="1" applyBorder="1" applyAlignment="1">
      <alignment horizontal="right" wrapText="1"/>
    </xf>
    <xf numFmtId="179" fontId="38" fillId="0" borderId="0" xfId="51" applyFont="1" applyFill="1" applyBorder="1" applyAlignment="1">
      <alignment horizontal="right" wrapText="1"/>
    </xf>
    <xf numFmtId="0" fontId="38" fillId="0" borderId="0" xfId="0" applyFont="1" applyFill="1" applyBorder="1" applyAlignment="1">
      <alignment horizontal="right" wrapText="1"/>
    </xf>
    <xf numFmtId="181" fontId="0" fillId="0" borderId="0" xfId="0" applyNumberFormat="1" applyFont="1" applyFill="1" applyBorder="1" applyAlignment="1">
      <alignment horizontal="right" wrapText="1"/>
    </xf>
    <xf numFmtId="181" fontId="21" fillId="34" borderId="0" xfId="51" applyNumberFormat="1" applyFont="1" applyFill="1" applyAlignment="1">
      <alignment/>
    </xf>
    <xf numFmtId="181" fontId="4" fillId="34" borderId="0" xfId="51" applyNumberFormat="1" applyFont="1" applyFill="1" applyBorder="1" applyAlignment="1">
      <alignment/>
    </xf>
    <xf numFmtId="181" fontId="0" fillId="34" borderId="0" xfId="51" applyNumberFormat="1" applyFont="1" applyFill="1" applyAlignment="1">
      <alignment/>
    </xf>
    <xf numFmtId="0" fontId="4" fillId="34" borderId="10" xfId="0" applyNumberFormat="1" applyFont="1" applyFill="1" applyBorder="1" applyAlignment="1">
      <alignment horizontal="center"/>
    </xf>
    <xf numFmtId="0" fontId="0" fillId="34" borderId="0" xfId="0" applyFont="1" applyFill="1" applyAlignment="1">
      <alignment/>
    </xf>
    <xf numFmtId="0" fontId="0" fillId="34" borderId="10" xfId="0" applyFont="1" applyFill="1" applyBorder="1" applyAlignment="1">
      <alignment/>
    </xf>
    <xf numFmtId="181" fontId="0" fillId="34" borderId="10" xfId="51" applyNumberFormat="1" applyFont="1" applyFill="1" applyBorder="1" applyAlignment="1">
      <alignment/>
    </xf>
    <xf numFmtId="181" fontId="0" fillId="0" borderId="0" xfId="0" applyNumberFormat="1" applyFill="1" applyAlignment="1">
      <alignment/>
    </xf>
    <xf numFmtId="181" fontId="0" fillId="0" borderId="0" xfId="51" applyNumberFormat="1" applyFont="1" applyFill="1" applyAlignment="1">
      <alignment/>
    </xf>
    <xf numFmtId="179" fontId="28" fillId="0" borderId="99" xfId="0" applyNumberFormat="1" applyFont="1" applyFill="1" applyBorder="1" applyAlignment="1">
      <alignment/>
    </xf>
    <xf numFmtId="181" fontId="4" fillId="0" borderId="99" xfId="51" applyNumberFormat="1" applyFont="1" applyFill="1" applyBorder="1" applyAlignment="1">
      <alignment/>
    </xf>
    <xf numFmtId="179" fontId="4" fillId="0" borderId="99" xfId="0" applyNumberFormat="1" applyFont="1" applyFill="1" applyBorder="1" applyAlignment="1">
      <alignment/>
    </xf>
    <xf numFmtId="43" fontId="4" fillId="0" borderId="99" xfId="0" applyNumberFormat="1" applyFont="1" applyFill="1" applyBorder="1" applyAlignment="1">
      <alignment/>
    </xf>
    <xf numFmtId="0" fontId="3" fillId="0" borderId="0" xfId="0" applyFont="1" applyFill="1" applyAlignment="1">
      <alignment/>
    </xf>
    <xf numFmtId="179" fontId="1" fillId="0" borderId="0" xfId="64" applyFont="1" applyFill="1" applyAlignment="1">
      <alignment/>
    </xf>
    <xf numFmtId="3" fontId="4" fillId="0" borderId="98" xfId="0" applyNumberFormat="1" applyFont="1" applyFill="1" applyBorder="1" applyAlignment="1">
      <alignment/>
    </xf>
    <xf numFmtId="0" fontId="4" fillId="0" borderId="121" xfId="0" applyFont="1" applyFill="1" applyBorder="1" applyAlignment="1">
      <alignment/>
    </xf>
    <xf numFmtId="181" fontId="1" fillId="0" borderId="0" xfId="84" applyNumberFormat="1" applyFont="1" applyFill="1" applyAlignment="1">
      <alignment/>
    </xf>
    <xf numFmtId="179" fontId="33" fillId="0" borderId="0" xfId="64" applyFont="1" applyFill="1" applyAlignment="1">
      <alignment/>
    </xf>
    <xf numFmtId="9" fontId="1" fillId="0" borderId="0" xfId="0" applyNumberFormat="1" applyFont="1" applyFill="1" applyAlignment="1">
      <alignment/>
    </xf>
    <xf numFmtId="10" fontId="1" fillId="0" borderId="0" xfId="84" applyNumberFormat="1" applyFont="1" applyFill="1" applyAlignment="1">
      <alignment/>
    </xf>
    <xf numFmtId="181" fontId="28" fillId="0" borderId="121" xfId="64" applyNumberFormat="1" applyFont="1" applyFill="1" applyBorder="1" applyAlignment="1">
      <alignment/>
    </xf>
    <xf numFmtId="0" fontId="1" fillId="0" borderId="98" xfId="0" applyFont="1" applyFill="1" applyBorder="1" applyAlignment="1">
      <alignment/>
    </xf>
    <xf numFmtId="0" fontId="0" fillId="0" borderId="122" xfId="0" applyFill="1" applyBorder="1" applyAlignment="1">
      <alignment/>
    </xf>
    <xf numFmtId="0" fontId="0" fillId="34" borderId="0" xfId="0" applyFill="1" applyBorder="1" applyAlignment="1">
      <alignment horizontal="left"/>
    </xf>
    <xf numFmtId="181" fontId="0" fillId="34" borderId="0" xfId="51" applyNumberFormat="1" applyFont="1" applyFill="1" applyBorder="1" applyAlignment="1">
      <alignment/>
    </xf>
    <xf numFmtId="0" fontId="3" fillId="34" borderId="0" xfId="0" applyFont="1" applyFill="1" applyBorder="1" applyAlignment="1">
      <alignment/>
    </xf>
    <xf numFmtId="181" fontId="0" fillId="34" borderId="0" xfId="0" applyNumberFormat="1" applyFill="1" applyBorder="1" applyAlignment="1">
      <alignment/>
    </xf>
    <xf numFmtId="2" fontId="0" fillId="0" borderId="10" xfId="72" applyNumberFormat="1" applyBorder="1">
      <alignment/>
      <protection/>
    </xf>
    <xf numFmtId="191" fontId="0" fillId="0" borderId="10" xfId="72" applyNumberFormat="1" applyBorder="1">
      <alignment/>
      <protection/>
    </xf>
    <xf numFmtId="182" fontId="0" fillId="0" borderId="10" xfId="72" applyNumberFormat="1" applyBorder="1">
      <alignment/>
      <protection/>
    </xf>
    <xf numFmtId="9" fontId="0" fillId="0" borderId="0" xfId="77" applyFont="1" applyAlignment="1">
      <alignment/>
    </xf>
    <xf numFmtId="190" fontId="0" fillId="37" borderId="10" xfId="72" applyNumberFormat="1" applyFill="1" applyBorder="1" applyAlignment="1">
      <alignment horizontal="center"/>
      <protection/>
    </xf>
    <xf numFmtId="178" fontId="28" fillId="0" borderId="0" xfId="0" applyNumberFormat="1" applyFont="1" applyFill="1" applyAlignment="1">
      <alignment horizontal="right"/>
    </xf>
    <xf numFmtId="179" fontId="25" fillId="0" borderId="0" xfId="51" applyFont="1" applyAlignment="1">
      <alignment/>
    </xf>
    <xf numFmtId="189" fontId="28" fillId="0" borderId="0" xfId="68" applyNumberFormat="1" applyFont="1" applyFill="1" applyAlignment="1">
      <alignment/>
    </xf>
    <xf numFmtId="3" fontId="47" fillId="0" borderId="0" xfId="0" applyNumberFormat="1" applyFont="1" applyAlignment="1">
      <alignment/>
    </xf>
    <xf numFmtId="0" fontId="46" fillId="0" borderId="0" xfId="0" applyFont="1" applyAlignment="1">
      <alignment/>
    </xf>
    <xf numFmtId="3" fontId="46" fillId="0" borderId="24" xfId="0" applyNumberFormat="1" applyFont="1" applyBorder="1" applyAlignment="1">
      <alignment/>
    </xf>
    <xf numFmtId="0" fontId="46" fillId="0" borderId="26" xfId="0" applyFont="1" applyBorder="1" applyAlignment="1">
      <alignment horizontal="center"/>
    </xf>
    <xf numFmtId="3" fontId="46" fillId="0" borderId="26" xfId="0" applyNumberFormat="1" applyFont="1" applyBorder="1" applyAlignment="1">
      <alignment horizontal="center"/>
    </xf>
    <xf numFmtId="4" fontId="46" fillId="0" borderId="26" xfId="0" applyNumberFormat="1" applyFont="1" applyBorder="1" applyAlignment="1">
      <alignment horizontal="center"/>
    </xf>
    <xf numFmtId="0" fontId="47" fillId="0" borderId="28" xfId="0" applyFont="1" applyBorder="1" applyAlignment="1">
      <alignment horizontal="center" wrapText="1"/>
    </xf>
    <xf numFmtId="4" fontId="47" fillId="0" borderId="28" xfId="0" applyNumberFormat="1" applyFont="1" applyBorder="1" applyAlignment="1">
      <alignment horizontal="center"/>
    </xf>
    <xf numFmtId="4" fontId="46" fillId="0" borderId="58" xfId="0" applyNumberFormat="1" applyFont="1" applyBorder="1" applyAlignment="1">
      <alignment horizontal="center"/>
    </xf>
    <xf numFmtId="0" fontId="47" fillId="0" borderId="41" xfId="0" applyFont="1" applyBorder="1" applyAlignment="1">
      <alignment horizontal="center" vertical="center" wrapText="1"/>
    </xf>
    <xf numFmtId="4" fontId="47" fillId="0" borderId="41" xfId="0" applyNumberFormat="1" applyFont="1" applyBorder="1" applyAlignment="1">
      <alignment/>
    </xf>
    <xf numFmtId="4" fontId="6" fillId="0" borderId="41" xfId="0" applyNumberFormat="1" applyFont="1" applyBorder="1" applyAlignment="1">
      <alignment/>
    </xf>
    <xf numFmtId="4" fontId="46" fillId="0" borderId="41" xfId="0" applyNumberFormat="1" applyFont="1" applyBorder="1" applyAlignment="1">
      <alignment horizontal="center"/>
    </xf>
    <xf numFmtId="0" fontId="47" fillId="0" borderId="28" xfId="73" applyFont="1" applyBorder="1" applyAlignment="1">
      <alignment horizontal="center" wrapText="1"/>
      <protection/>
    </xf>
    <xf numFmtId="4" fontId="47" fillId="0" borderId="41" xfId="73" applyNumberFormat="1" applyFont="1" applyBorder="1" applyAlignment="1">
      <alignment/>
      <protection/>
    </xf>
    <xf numFmtId="4" fontId="6" fillId="0" borderId="41" xfId="73" applyNumberFormat="1" applyFont="1" applyBorder="1" applyAlignment="1">
      <alignment/>
      <protection/>
    </xf>
    <xf numFmtId="4" fontId="46" fillId="0" borderId="41" xfId="73" applyNumberFormat="1" applyFont="1" applyBorder="1" applyAlignment="1">
      <alignment horizontal="center"/>
      <protection/>
    </xf>
    <xf numFmtId="0" fontId="47" fillId="0" borderId="58" xfId="0" applyFont="1" applyBorder="1" applyAlignment="1">
      <alignment/>
    </xf>
    <xf numFmtId="0" fontId="47" fillId="0" borderId="45" xfId="0" applyFont="1" applyBorder="1" applyAlignment="1">
      <alignment/>
    </xf>
    <xf numFmtId="4" fontId="47" fillId="0" borderId="45" xfId="0" applyNumberFormat="1" applyFont="1" applyBorder="1" applyAlignment="1">
      <alignment/>
    </xf>
    <xf numFmtId="4" fontId="6" fillId="0" borderId="45" xfId="0" applyNumberFormat="1" applyFont="1" applyBorder="1" applyAlignment="1">
      <alignment/>
    </xf>
    <xf numFmtId="4" fontId="46" fillId="0" borderId="45" xfId="0" applyNumberFormat="1" applyFont="1" applyBorder="1" applyAlignment="1">
      <alignment horizontal="center"/>
    </xf>
    <xf numFmtId="0" fontId="47" fillId="0" borderId="0" xfId="0" applyFont="1" applyAlignment="1">
      <alignment/>
    </xf>
    <xf numFmtId="3" fontId="46" fillId="0" borderId="24" xfId="0" applyNumberFormat="1" applyFont="1" applyBorder="1" applyAlignment="1">
      <alignment horizontal="center"/>
    </xf>
    <xf numFmtId="0" fontId="47" fillId="0" borderId="53" xfId="0" applyFont="1" applyBorder="1" applyAlignment="1">
      <alignment/>
    </xf>
    <xf numFmtId="4" fontId="47" fillId="0" borderId="53" xfId="0" applyNumberFormat="1" applyFont="1" applyBorder="1" applyAlignment="1">
      <alignment/>
    </xf>
    <xf numFmtId="4" fontId="6" fillId="0" borderId="53" xfId="0" applyNumberFormat="1" applyFont="1" applyBorder="1" applyAlignment="1">
      <alignment/>
    </xf>
    <xf numFmtId="4" fontId="46" fillId="0" borderId="53" xfId="0" applyNumberFormat="1" applyFont="1" applyBorder="1" applyAlignment="1">
      <alignment horizontal="center"/>
    </xf>
    <xf numFmtId="0" fontId="47" fillId="0" borderId="10" xfId="0" applyFont="1" applyFill="1" applyBorder="1" applyAlignment="1">
      <alignment/>
    </xf>
    <xf numFmtId="171" fontId="47" fillId="0" borderId="10" xfId="51" applyNumberFormat="1" applyFont="1" applyFill="1" applyBorder="1" applyAlignment="1">
      <alignment/>
    </xf>
    <xf numFmtId="3" fontId="47" fillId="0" borderId="10" xfId="0" applyNumberFormat="1" applyFont="1" applyFill="1" applyBorder="1" applyAlignment="1">
      <alignment/>
    </xf>
    <xf numFmtId="4" fontId="46" fillId="0" borderId="10" xfId="0" applyNumberFormat="1" applyFont="1" applyFill="1" applyBorder="1" applyAlignment="1">
      <alignment horizontal="center"/>
    </xf>
    <xf numFmtId="0" fontId="47" fillId="0" borderId="10" xfId="0" applyFont="1" applyBorder="1" applyAlignment="1">
      <alignment/>
    </xf>
    <xf numFmtId="171" fontId="47" fillId="0" borderId="10" xfId="51" applyNumberFormat="1" applyFont="1" applyBorder="1" applyAlignment="1">
      <alignment/>
    </xf>
    <xf numFmtId="3" fontId="47" fillId="0" borderId="10" xfId="0" applyNumberFormat="1" applyFont="1" applyBorder="1" applyAlignment="1">
      <alignment/>
    </xf>
    <xf numFmtId="4" fontId="46" fillId="0" borderId="10" xfId="0" applyNumberFormat="1" applyFont="1" applyBorder="1" applyAlignment="1">
      <alignment horizontal="center"/>
    </xf>
    <xf numFmtId="0" fontId="47" fillId="0" borderId="0" xfId="0" applyFont="1" applyBorder="1" applyAlignment="1">
      <alignment/>
    </xf>
    <xf numFmtId="0" fontId="47" fillId="0" borderId="123" xfId="0" applyFont="1" applyBorder="1" applyAlignment="1">
      <alignment/>
    </xf>
    <xf numFmtId="3" fontId="47" fillId="0" borderId="61" xfId="0" applyNumberFormat="1" applyFont="1" applyBorder="1" applyAlignment="1">
      <alignment vertical="center"/>
    </xf>
    <xf numFmtId="3" fontId="47" fillId="0" borderId="61" xfId="0" applyNumberFormat="1" applyFont="1" applyBorder="1" applyAlignment="1">
      <alignment vertical="center" wrapText="1"/>
    </xf>
    <xf numFmtId="3" fontId="47" fillId="0" borderId="61" xfId="0" applyNumberFormat="1" applyFont="1" applyBorder="1" applyAlignment="1">
      <alignment/>
    </xf>
    <xf numFmtId="3" fontId="47" fillId="0" borderId="61" xfId="0" applyNumberFormat="1" applyFont="1" applyBorder="1" applyAlignment="1">
      <alignment/>
    </xf>
    <xf numFmtId="3" fontId="47" fillId="0" borderId="62" xfId="0" applyNumberFormat="1" applyFont="1" applyBorder="1" applyAlignment="1">
      <alignment/>
    </xf>
    <xf numFmtId="3" fontId="47" fillId="0" borderId="58" xfId="0" applyNumberFormat="1" applyFont="1" applyBorder="1" applyAlignment="1">
      <alignment/>
    </xf>
    <xf numFmtId="3" fontId="47" fillId="0" borderId="0" xfId="0" applyNumberFormat="1" applyFont="1" applyBorder="1" applyAlignment="1">
      <alignment/>
    </xf>
    <xf numFmtId="3" fontId="47" fillId="0" borderId="44" xfId="0" applyNumberFormat="1" applyFont="1" applyBorder="1" applyAlignment="1">
      <alignment/>
    </xf>
    <xf numFmtId="3" fontId="47" fillId="0" borderId="124" xfId="0" applyNumberFormat="1" applyFont="1" applyBorder="1" applyAlignment="1">
      <alignment/>
    </xf>
    <xf numFmtId="3" fontId="47" fillId="0" borderId="48" xfId="0" applyNumberFormat="1" applyFont="1" applyBorder="1" applyAlignment="1">
      <alignment/>
    </xf>
    <xf numFmtId="3" fontId="47" fillId="0" borderId="49" xfId="0" applyNumberFormat="1" applyFont="1" applyBorder="1" applyAlignment="1">
      <alignment/>
    </xf>
    <xf numFmtId="0" fontId="1" fillId="0" borderId="121" xfId="0" applyFont="1" applyFill="1" applyBorder="1" applyAlignment="1">
      <alignment/>
    </xf>
    <xf numFmtId="181" fontId="0" fillId="0" borderId="10" xfId="51" applyNumberFormat="1" applyFont="1" applyFill="1" applyBorder="1" applyAlignment="1">
      <alignment/>
    </xf>
    <xf numFmtId="181" fontId="3" fillId="0" borderId="10" xfId="51" applyNumberFormat="1" applyFont="1" applyFill="1" applyBorder="1" applyAlignment="1">
      <alignment/>
    </xf>
    <xf numFmtId="181" fontId="0" fillId="0" borderId="43" xfId="51" applyNumberFormat="1" applyFont="1" applyFill="1" applyBorder="1" applyAlignment="1">
      <alignment/>
    </xf>
    <xf numFmtId="181" fontId="3" fillId="0" borderId="43" xfId="51" applyNumberFormat="1" applyFont="1" applyFill="1" applyBorder="1" applyAlignment="1">
      <alignment/>
    </xf>
    <xf numFmtId="3" fontId="32" fillId="0" borderId="99" xfId="0" applyNumberFormat="1" applyFont="1" applyFill="1" applyBorder="1" applyAlignment="1">
      <alignment/>
    </xf>
    <xf numFmtId="37" fontId="4" fillId="0" borderId="97" xfId="0" applyNumberFormat="1" applyFont="1" applyFill="1" applyBorder="1" applyAlignment="1">
      <alignment horizontal="left"/>
    </xf>
    <xf numFmtId="37" fontId="28" fillId="0" borderId="97" xfId="0" applyNumberFormat="1" applyFont="1" applyFill="1" applyBorder="1" applyAlignment="1">
      <alignment horizontal="left"/>
    </xf>
    <xf numFmtId="37" fontId="28" fillId="0" borderId="97" xfId="0" applyNumberFormat="1" applyFont="1" applyFill="1" applyBorder="1" applyAlignment="1">
      <alignment horizontal="left" wrapText="1"/>
    </xf>
    <xf numFmtId="37" fontId="4" fillId="0" borderId="97" xfId="0" applyNumberFormat="1" applyFont="1" applyFill="1" applyBorder="1" applyAlignment="1">
      <alignment horizontal="left"/>
    </xf>
    <xf numFmtId="0" fontId="4" fillId="0" borderId="97" xfId="0" applyFont="1" applyFill="1" applyBorder="1" applyAlignment="1">
      <alignment/>
    </xf>
    <xf numFmtId="0" fontId="4" fillId="0" borderId="99" xfId="0" applyFont="1" applyFill="1" applyBorder="1" applyAlignment="1">
      <alignment/>
    </xf>
    <xf numFmtId="3" fontId="4" fillId="0" borderId="0" xfId="0" applyNumberFormat="1" applyFont="1" applyFill="1" applyBorder="1" applyAlignment="1">
      <alignment/>
    </xf>
    <xf numFmtId="0" fontId="15" fillId="0" borderId="0" xfId="0" applyFont="1" applyFill="1" applyAlignment="1">
      <alignment/>
    </xf>
    <xf numFmtId="183" fontId="28" fillId="0" borderId="22" xfId="67" applyNumberFormat="1" applyFont="1" applyFill="1" applyBorder="1" applyAlignment="1">
      <alignment horizontal="center"/>
    </xf>
    <xf numFmtId="183" fontId="28" fillId="0" borderId="35" xfId="67" applyNumberFormat="1" applyFont="1" applyFill="1" applyBorder="1" applyAlignment="1">
      <alignment horizontal="center"/>
    </xf>
    <xf numFmtId="0" fontId="28" fillId="0" borderId="19" xfId="0" applyFont="1" applyFill="1" applyBorder="1" applyAlignment="1">
      <alignment horizontal="center"/>
    </xf>
    <xf numFmtId="0" fontId="15" fillId="0" borderId="19" xfId="0" applyFont="1" applyFill="1" applyBorder="1" applyAlignment="1">
      <alignment/>
    </xf>
    <xf numFmtId="183" fontId="28" fillId="0" borderId="40" xfId="67" applyNumberFormat="1" applyFont="1" applyFill="1" applyBorder="1" applyAlignment="1">
      <alignment horizontal="center"/>
    </xf>
    <xf numFmtId="183" fontId="28" fillId="0" borderId="63" xfId="67" applyNumberFormat="1" applyFont="1" applyFill="1" applyBorder="1" applyAlignment="1">
      <alignment horizontal="center"/>
    </xf>
    <xf numFmtId="0" fontId="28" fillId="0" borderId="28" xfId="0" applyFont="1" applyFill="1" applyBorder="1" applyAlignment="1">
      <alignment horizontal="center"/>
    </xf>
    <xf numFmtId="0" fontId="16" fillId="0" borderId="28" xfId="0" applyFont="1" applyFill="1" applyBorder="1" applyAlignment="1">
      <alignment horizontal="center"/>
    </xf>
    <xf numFmtId="179" fontId="15" fillId="0" borderId="0" xfId="0" applyNumberFormat="1" applyFont="1" applyFill="1" applyAlignment="1">
      <alignment/>
    </xf>
    <xf numFmtId="183" fontId="28" fillId="0" borderId="21" xfId="67" applyNumberFormat="1" applyFont="1" applyFill="1" applyBorder="1" applyAlignment="1">
      <alignment horizontal="center"/>
    </xf>
    <xf numFmtId="183" fontId="28" fillId="0" borderId="125" xfId="67" applyNumberFormat="1" applyFont="1" applyFill="1" applyBorder="1" applyAlignment="1">
      <alignment horizontal="center"/>
    </xf>
    <xf numFmtId="0" fontId="28" fillId="0" borderId="20" xfId="0" applyFont="1" applyFill="1" applyBorder="1" applyAlignment="1">
      <alignment horizontal="center"/>
    </xf>
    <xf numFmtId="179" fontId="15" fillId="0" borderId="20" xfId="0" applyNumberFormat="1" applyFont="1" applyFill="1" applyBorder="1" applyAlignment="1">
      <alignment/>
    </xf>
    <xf numFmtId="179" fontId="15" fillId="0" borderId="0" xfId="51" applyFont="1" applyFill="1" applyAlignment="1">
      <alignment/>
    </xf>
    <xf numFmtId="0" fontId="28" fillId="0" borderId="126" xfId="0" applyFont="1" applyFill="1" applyBorder="1" applyAlignment="1">
      <alignment horizontal="left"/>
    </xf>
    <xf numFmtId="183" fontId="28" fillId="0" borderId="127" xfId="67" applyNumberFormat="1" applyFont="1" applyFill="1" applyBorder="1" applyAlignment="1">
      <alignment horizontal="center"/>
    </xf>
    <xf numFmtId="183" fontId="28" fillId="0" borderId="19" xfId="67" applyNumberFormat="1" applyFont="1" applyFill="1" applyBorder="1" applyAlignment="1">
      <alignment horizontal="center"/>
    </xf>
    <xf numFmtId="0" fontId="4" fillId="0" borderId="73" xfId="0" applyFont="1" applyFill="1" applyBorder="1" applyAlignment="1">
      <alignment/>
    </xf>
    <xf numFmtId="181" fontId="4" fillId="0" borderId="77" xfId="65" applyNumberFormat="1" applyFont="1" applyFill="1" applyBorder="1" applyAlignment="1">
      <alignment/>
    </xf>
    <xf numFmtId="181" fontId="4" fillId="0" borderId="128" xfId="65" applyNumberFormat="1" applyFont="1" applyFill="1" applyBorder="1" applyAlignment="1">
      <alignment/>
    </xf>
    <xf numFmtId="0" fontId="28" fillId="0" borderId="94" xfId="0" applyFont="1" applyFill="1" applyBorder="1" applyAlignment="1">
      <alignment/>
    </xf>
    <xf numFmtId="183" fontId="28" fillId="0" borderId="96" xfId="67" applyNumberFormat="1" applyFont="1" applyFill="1" applyBorder="1" applyAlignment="1">
      <alignment/>
    </xf>
    <xf numFmtId="183" fontId="28" fillId="0" borderId="129" xfId="67" applyNumberFormat="1" applyFont="1" applyFill="1" applyBorder="1" applyAlignment="1">
      <alignment/>
    </xf>
    <xf numFmtId="183" fontId="15" fillId="0" borderId="0" xfId="0" applyNumberFormat="1" applyFont="1" applyFill="1" applyAlignment="1">
      <alignment/>
    </xf>
    <xf numFmtId="43" fontId="15" fillId="0" borderId="0" xfId="0" applyNumberFormat="1" applyFont="1" applyFill="1" applyAlignment="1">
      <alignment/>
    </xf>
    <xf numFmtId="181" fontId="15" fillId="0" borderId="0" xfId="0" applyNumberFormat="1" applyFont="1" applyFill="1" applyAlignment="1">
      <alignment/>
    </xf>
    <xf numFmtId="0" fontId="28" fillId="0" borderId="73" xfId="0" applyFont="1" applyFill="1" applyBorder="1" applyAlignment="1">
      <alignment/>
    </xf>
    <xf numFmtId="181" fontId="28" fillId="0" borderId="77" xfId="65" applyNumberFormat="1" applyFont="1" applyFill="1" applyBorder="1" applyAlignment="1">
      <alignment/>
    </xf>
    <xf numFmtId="181" fontId="28" fillId="0" borderId="128" xfId="65" applyNumberFormat="1" applyFont="1" applyFill="1" applyBorder="1" applyAlignment="1">
      <alignment/>
    </xf>
    <xf numFmtId="181" fontId="4" fillId="0" borderId="77" xfId="75" applyNumberFormat="1" applyFont="1" applyFill="1" applyBorder="1" applyAlignment="1">
      <alignment/>
    </xf>
    <xf numFmtId="181" fontId="4" fillId="0" borderId="128" xfId="75" applyNumberFormat="1" applyFont="1" applyFill="1" applyBorder="1" applyAlignment="1">
      <alignment/>
    </xf>
    <xf numFmtId="0" fontId="4" fillId="0" borderId="91" xfId="0" applyFont="1" applyFill="1" applyBorder="1" applyAlignment="1">
      <alignment/>
    </xf>
    <xf numFmtId="181" fontId="4" fillId="0" borderId="93" xfId="65" applyNumberFormat="1" applyFont="1" applyFill="1" applyBorder="1" applyAlignment="1">
      <alignment/>
    </xf>
    <xf numFmtId="181" fontId="4" fillId="0" borderId="130" xfId="65" applyNumberFormat="1" applyFont="1" applyFill="1" applyBorder="1" applyAlignment="1">
      <alignment/>
    </xf>
    <xf numFmtId="0" fontId="28" fillId="0" borderId="31" xfId="0" applyFont="1" applyFill="1" applyBorder="1" applyAlignment="1">
      <alignment/>
    </xf>
    <xf numFmtId="181" fontId="28" fillId="0" borderId="32" xfId="0" applyNumberFormat="1" applyFont="1" applyFill="1" applyBorder="1" applyAlignment="1">
      <alignment/>
    </xf>
    <xf numFmtId="181" fontId="28" fillId="0" borderId="26" xfId="0" applyNumberFormat="1" applyFont="1" applyFill="1" applyBorder="1" applyAlignment="1">
      <alignment/>
    </xf>
    <xf numFmtId="10" fontId="16" fillId="0" borderId="26" xfId="75" applyNumberFormat="1" applyFont="1" applyFill="1" applyBorder="1" applyAlignment="1">
      <alignment/>
    </xf>
    <xf numFmtId="3" fontId="23" fillId="0" borderId="0" xfId="0" applyNumberFormat="1" applyFont="1" applyFill="1" applyAlignment="1">
      <alignment/>
    </xf>
    <xf numFmtId="0" fontId="28" fillId="0" borderId="0" xfId="0" applyFont="1" applyFill="1" applyAlignment="1">
      <alignment/>
    </xf>
    <xf numFmtId="0" fontId="16" fillId="0" borderId="10" xfId="0" applyFont="1" applyFill="1" applyBorder="1" applyAlignment="1">
      <alignment/>
    </xf>
    <xf numFmtId="181" fontId="15" fillId="0" borderId="10" xfId="51" applyNumberFormat="1" applyFont="1" applyFill="1" applyBorder="1" applyAlignment="1">
      <alignment/>
    </xf>
    <xf numFmtId="0" fontId="4" fillId="0" borderId="0" xfId="0" applyFont="1" applyFill="1" applyAlignment="1" quotePrefix="1">
      <alignment horizontal="left"/>
    </xf>
    <xf numFmtId="182" fontId="21" fillId="0" borderId="0" xfId="75" applyNumberFormat="1" applyFont="1" applyFill="1" applyAlignment="1">
      <alignment/>
    </xf>
    <xf numFmtId="10" fontId="21" fillId="0" borderId="0" xfId="75" applyNumberFormat="1" applyFont="1" applyFill="1" applyAlignment="1">
      <alignment/>
    </xf>
    <xf numFmtId="10" fontId="4" fillId="0" borderId="0" xfId="75" applyNumberFormat="1" applyFont="1" applyFill="1" applyAlignment="1">
      <alignment/>
    </xf>
    <xf numFmtId="178" fontId="15" fillId="0" borderId="0" xfId="0" applyNumberFormat="1" applyFont="1" applyFill="1" applyAlignment="1">
      <alignment/>
    </xf>
    <xf numFmtId="183" fontId="28" fillId="0" borderId="131" xfId="67" applyNumberFormat="1" applyFont="1" applyFill="1" applyBorder="1" applyAlignment="1">
      <alignment horizontal="center"/>
    </xf>
    <xf numFmtId="9" fontId="28" fillId="0" borderId="104" xfId="75" applyNumberFormat="1" applyFont="1" applyFill="1" applyBorder="1" applyAlignment="1">
      <alignment horizontal="right"/>
    </xf>
    <xf numFmtId="181" fontId="4" fillId="0" borderId="132" xfId="65" applyNumberFormat="1" applyFont="1" applyFill="1" applyBorder="1" applyAlignment="1">
      <alignment/>
    </xf>
    <xf numFmtId="9" fontId="28" fillId="0" borderId="105" xfId="67" applyNumberFormat="1" applyFont="1" applyFill="1" applyBorder="1" applyAlignment="1">
      <alignment horizontal="center"/>
    </xf>
    <xf numFmtId="183" fontId="28" fillId="0" borderId="132" xfId="67" applyNumberFormat="1" applyFont="1" applyFill="1" applyBorder="1" applyAlignment="1">
      <alignment/>
    </xf>
    <xf numFmtId="183" fontId="28" fillId="0" borderId="105" xfId="67" applyNumberFormat="1" applyFont="1" applyFill="1" applyBorder="1" applyAlignment="1">
      <alignment/>
    </xf>
    <xf numFmtId="9" fontId="28" fillId="0" borderId="105" xfId="75" applyNumberFormat="1" applyFont="1" applyFill="1" applyBorder="1" applyAlignment="1">
      <alignment/>
    </xf>
    <xf numFmtId="183" fontId="4" fillId="0" borderId="105" xfId="67" applyNumberFormat="1" applyFont="1" applyFill="1" applyBorder="1" applyAlignment="1">
      <alignment/>
    </xf>
    <xf numFmtId="9" fontId="4" fillId="0" borderId="105" xfId="75" applyNumberFormat="1" applyFont="1" applyFill="1" applyBorder="1" applyAlignment="1">
      <alignment/>
    </xf>
    <xf numFmtId="181" fontId="28" fillId="0" borderId="132" xfId="65" applyNumberFormat="1" applyFont="1" applyFill="1" applyBorder="1" applyAlignment="1">
      <alignment/>
    </xf>
    <xf numFmtId="181" fontId="4" fillId="0" borderId="132" xfId="75" applyNumberFormat="1" applyFont="1" applyFill="1" applyBorder="1" applyAlignment="1">
      <alignment/>
    </xf>
    <xf numFmtId="9" fontId="4" fillId="0" borderId="105" xfId="75" applyFont="1" applyFill="1" applyBorder="1" applyAlignment="1">
      <alignment/>
    </xf>
    <xf numFmtId="181" fontId="28" fillId="0" borderId="133" xfId="0" applyNumberFormat="1" applyFont="1" applyFill="1" applyBorder="1" applyAlignment="1">
      <alignment/>
    </xf>
    <xf numFmtId="183" fontId="28" fillId="0" borderId="106" xfId="67" applyNumberFormat="1" applyFont="1" applyFill="1" applyBorder="1" applyAlignment="1">
      <alignment/>
    </xf>
    <xf numFmtId="9" fontId="28" fillId="0" borderId="106" xfId="75" applyNumberFormat="1" applyFont="1" applyFill="1" applyBorder="1" applyAlignment="1">
      <alignment/>
    </xf>
    <xf numFmtId="0" fontId="28" fillId="0" borderId="134" xfId="0" applyFont="1" applyFill="1" applyBorder="1" applyAlignment="1">
      <alignment horizontal="center" vertical="center" wrapText="1"/>
    </xf>
    <xf numFmtId="0" fontId="28" fillId="0" borderId="117" xfId="0" applyFont="1" applyFill="1" applyBorder="1" applyAlignment="1">
      <alignment horizontal="center" vertical="center" wrapText="1"/>
    </xf>
    <xf numFmtId="0" fontId="28" fillId="0" borderId="135" xfId="0" applyFont="1" applyFill="1" applyBorder="1" applyAlignment="1">
      <alignment horizontal="center" vertical="center" wrapText="1"/>
    </xf>
    <xf numFmtId="0" fontId="28" fillId="0" borderId="118" xfId="0" applyFont="1" applyFill="1" applyBorder="1" applyAlignment="1">
      <alignment horizontal="center" vertical="center" wrapText="1"/>
    </xf>
    <xf numFmtId="0" fontId="4" fillId="0" borderId="136" xfId="0" applyFont="1" applyFill="1" applyBorder="1" applyAlignment="1">
      <alignment/>
    </xf>
    <xf numFmtId="0" fontId="32" fillId="0" borderId="136" xfId="0" applyFont="1" applyFill="1" applyBorder="1" applyAlignment="1">
      <alignment/>
    </xf>
    <xf numFmtId="181" fontId="4" fillId="0" borderId="136" xfId="64" applyNumberFormat="1" applyFont="1" applyFill="1" applyBorder="1" applyAlignment="1">
      <alignment/>
    </xf>
    <xf numFmtId="181" fontId="4" fillId="0" borderId="99" xfId="64" applyNumberFormat="1" applyFont="1" applyFill="1" applyBorder="1" applyAlignment="1">
      <alignment/>
    </xf>
    <xf numFmtId="181" fontId="4" fillId="0" borderId="137" xfId="64" applyNumberFormat="1" applyFont="1" applyFill="1" applyBorder="1" applyAlignment="1">
      <alignment/>
    </xf>
    <xf numFmtId="3" fontId="28" fillId="0" borderId="136" xfId="0" applyNumberFormat="1" applyFont="1" applyFill="1" applyBorder="1" applyAlignment="1">
      <alignment/>
    </xf>
    <xf numFmtId="3" fontId="39" fillId="0" borderId="99" xfId="0" applyNumberFormat="1" applyFont="1" applyFill="1" applyBorder="1" applyAlignment="1">
      <alignment/>
    </xf>
    <xf numFmtId="181" fontId="28" fillId="0" borderId="136" xfId="64" applyNumberFormat="1" applyFont="1" applyFill="1" applyBorder="1" applyAlignment="1">
      <alignment/>
    </xf>
    <xf numFmtId="181" fontId="28" fillId="0" borderId="99" xfId="64" applyNumberFormat="1" applyFont="1" applyFill="1" applyBorder="1" applyAlignment="1">
      <alignment/>
    </xf>
    <xf numFmtId="9" fontId="28" fillId="0" borderId="137" xfId="75" applyNumberFormat="1" applyFont="1" applyFill="1" applyBorder="1" applyAlignment="1">
      <alignment/>
    </xf>
    <xf numFmtId="3" fontId="4" fillId="0" borderId="136" xfId="0" applyNumberFormat="1" applyFont="1" applyFill="1" applyBorder="1" applyAlignment="1">
      <alignment/>
    </xf>
    <xf numFmtId="3" fontId="32" fillId="0" borderId="136" xfId="0" applyNumberFormat="1" applyFont="1" applyFill="1" applyBorder="1" applyAlignment="1">
      <alignment/>
    </xf>
    <xf numFmtId="181" fontId="4" fillId="0" borderId="136" xfId="64" applyNumberFormat="1" applyFont="1" applyFill="1" applyBorder="1" applyAlignment="1">
      <alignment/>
    </xf>
    <xf numFmtId="181" fontId="4" fillId="0" borderId="99" xfId="64" applyNumberFormat="1" applyFont="1" applyFill="1" applyBorder="1" applyAlignment="1">
      <alignment/>
    </xf>
    <xf numFmtId="9" fontId="4" fillId="0" borderId="137" xfId="75" applyFont="1" applyFill="1" applyBorder="1" applyAlignment="1">
      <alignment/>
    </xf>
    <xf numFmtId="3" fontId="28" fillId="0" borderId="136" xfId="0" applyNumberFormat="1" applyFont="1" applyFill="1" applyBorder="1" applyAlignment="1">
      <alignment/>
    </xf>
    <xf numFmtId="9" fontId="28" fillId="0" borderId="137" xfId="75" applyFont="1" applyFill="1" applyBorder="1" applyAlignment="1">
      <alignment/>
    </xf>
    <xf numFmtId="0" fontId="32" fillId="0" borderId="99" xfId="0" applyFont="1" applyFill="1" applyBorder="1" applyAlignment="1">
      <alignment/>
    </xf>
    <xf numFmtId="181" fontId="28" fillId="0" borderId="99" xfId="64" applyNumberFormat="1" applyFont="1" applyFill="1" applyBorder="1" applyAlignment="1">
      <alignment/>
    </xf>
    <xf numFmtId="181" fontId="39" fillId="0" borderId="99" xfId="64" applyNumberFormat="1" applyFont="1" applyFill="1" applyBorder="1" applyAlignment="1">
      <alignment/>
    </xf>
    <xf numFmtId="3" fontId="4" fillId="0" borderId="136" xfId="0" applyNumberFormat="1" applyFont="1" applyFill="1" applyBorder="1" applyAlignment="1">
      <alignment/>
    </xf>
    <xf numFmtId="3" fontId="39" fillId="0" borderId="136" xfId="0" applyNumberFormat="1" applyFont="1" applyFill="1" applyBorder="1" applyAlignment="1">
      <alignment/>
    </xf>
    <xf numFmtId="181" fontId="32" fillId="0" borderId="136" xfId="64" applyNumberFormat="1" applyFont="1" applyFill="1" applyBorder="1" applyAlignment="1">
      <alignment/>
    </xf>
    <xf numFmtId="3" fontId="4" fillId="0" borderId="0" xfId="0" applyNumberFormat="1" applyFont="1" applyFill="1" applyBorder="1" applyAlignment="1">
      <alignment/>
    </xf>
    <xf numFmtId="3" fontId="4" fillId="0" borderId="138" xfId="0" applyNumberFormat="1" applyFont="1" applyFill="1" applyBorder="1" applyAlignment="1">
      <alignment/>
    </xf>
    <xf numFmtId="3" fontId="28" fillId="0" borderId="138" xfId="0" applyNumberFormat="1" applyFont="1" applyFill="1" applyBorder="1" applyAlignment="1">
      <alignment/>
    </xf>
    <xf numFmtId="3" fontId="28" fillId="0" borderId="139" xfId="0" applyNumberFormat="1" applyFont="1" applyFill="1" applyBorder="1" applyAlignment="1">
      <alignment/>
    </xf>
    <xf numFmtId="0" fontId="28" fillId="0" borderId="30" xfId="0" applyFont="1" applyFill="1" applyBorder="1" applyAlignment="1">
      <alignment horizontal="center"/>
    </xf>
    <xf numFmtId="0" fontId="28" fillId="0" borderId="33" xfId="0" applyFont="1" applyFill="1" applyBorder="1" applyAlignment="1">
      <alignment horizontal="center"/>
    </xf>
    <xf numFmtId="0" fontId="28" fillId="0" borderId="28" xfId="0" applyFont="1" applyFill="1" applyBorder="1" applyAlignment="1">
      <alignment horizontal="center"/>
    </xf>
    <xf numFmtId="0" fontId="28" fillId="0" borderId="28" xfId="0" applyFont="1" applyFill="1" applyBorder="1" applyAlignment="1">
      <alignment horizontal="center" vertical="center" wrapText="1"/>
    </xf>
    <xf numFmtId="181" fontId="4" fillId="0" borderId="38" xfId="51" applyNumberFormat="1" applyFont="1" applyFill="1" applyBorder="1" applyAlignment="1">
      <alignment/>
    </xf>
    <xf numFmtId="181" fontId="4" fillId="0" borderId="20" xfId="51" applyNumberFormat="1" applyFont="1" applyFill="1" applyBorder="1" applyAlignment="1">
      <alignment horizontal="center"/>
    </xf>
    <xf numFmtId="181" fontId="4" fillId="0" borderId="19" xfId="51" applyNumberFormat="1" applyFont="1" applyFill="1" applyBorder="1" applyAlignment="1">
      <alignment/>
    </xf>
    <xf numFmtId="0" fontId="4" fillId="0" borderId="20" xfId="0" applyFont="1" applyFill="1" applyBorder="1" applyAlignment="1">
      <alignment/>
    </xf>
    <xf numFmtId="0" fontId="4" fillId="0" borderId="24" xfId="0" applyFont="1" applyFill="1" applyBorder="1" applyAlignment="1">
      <alignment/>
    </xf>
    <xf numFmtId="181" fontId="28" fillId="0" borderId="19" xfId="51" applyNumberFormat="1" applyFont="1" applyFill="1" applyBorder="1" applyAlignment="1">
      <alignment horizontal="center"/>
    </xf>
    <xf numFmtId="0" fontId="28" fillId="0" borderId="19" xfId="0" applyFont="1" applyFill="1" applyBorder="1" applyAlignment="1">
      <alignment/>
    </xf>
    <xf numFmtId="0" fontId="28" fillId="0" borderId="33" xfId="0" applyFont="1" applyFill="1" applyBorder="1" applyAlignment="1">
      <alignment/>
    </xf>
    <xf numFmtId="181" fontId="4" fillId="0" borderId="24" xfId="51" applyNumberFormat="1" applyFont="1" applyFill="1" applyBorder="1" applyAlignment="1">
      <alignment/>
    </xf>
    <xf numFmtId="181" fontId="4" fillId="0" borderId="28" xfId="51" applyNumberFormat="1" applyFont="1" applyFill="1" applyBorder="1" applyAlignment="1">
      <alignment/>
    </xf>
    <xf numFmtId="0" fontId="28" fillId="0" borderId="36" xfId="0" applyFont="1" applyFill="1" applyBorder="1" applyAlignment="1">
      <alignment horizontal="center"/>
    </xf>
    <xf numFmtId="181" fontId="4" fillId="0" borderId="19" xfId="51" applyNumberFormat="1" applyFont="1" applyFill="1" applyBorder="1" applyAlignment="1">
      <alignment horizontal="center"/>
    </xf>
    <xf numFmtId="181" fontId="4" fillId="0" borderId="19" xfId="0" applyNumberFormat="1" applyFont="1" applyFill="1" applyBorder="1" applyAlignment="1">
      <alignment horizontal="center"/>
    </xf>
    <xf numFmtId="181" fontId="4" fillId="0" borderId="38" xfId="0" applyNumberFormat="1" applyFont="1" applyFill="1" applyBorder="1" applyAlignment="1">
      <alignment/>
    </xf>
    <xf numFmtId="0" fontId="4" fillId="0" borderId="19" xfId="0" applyFont="1" applyFill="1" applyBorder="1" applyAlignment="1">
      <alignment/>
    </xf>
    <xf numFmtId="181" fontId="4" fillId="0" borderId="20" xfId="59" applyNumberFormat="1" applyFont="1" applyFill="1" applyBorder="1" applyAlignment="1">
      <alignment/>
    </xf>
    <xf numFmtId="0" fontId="4" fillId="0" borderId="33" xfId="0" applyFont="1" applyFill="1" applyBorder="1" applyAlignment="1">
      <alignment/>
    </xf>
    <xf numFmtId="3" fontId="4" fillId="0" borderId="20" xfId="0" applyNumberFormat="1" applyFont="1" applyFill="1" applyBorder="1" applyAlignment="1">
      <alignment/>
    </xf>
    <xf numFmtId="0" fontId="39" fillId="0" borderId="19" xfId="0" applyFont="1" applyFill="1" applyBorder="1" applyAlignment="1">
      <alignment horizontal="center"/>
    </xf>
    <xf numFmtId="181" fontId="4" fillId="0" borderId="24" xfId="51" applyNumberFormat="1" applyFont="1" applyFill="1" applyBorder="1" applyAlignment="1">
      <alignment horizontal="center"/>
    </xf>
    <xf numFmtId="181" fontId="4" fillId="0" borderId="23" xfId="51" applyNumberFormat="1" applyFont="1" applyFill="1" applyBorder="1" applyAlignment="1">
      <alignment/>
    </xf>
    <xf numFmtId="178" fontId="1" fillId="0" borderId="0" xfId="68" applyFont="1" applyFill="1" applyAlignment="1">
      <alignment/>
    </xf>
    <xf numFmtId="0" fontId="28" fillId="0" borderId="0" xfId="0" applyFont="1" applyFill="1" applyBorder="1" applyAlignment="1">
      <alignment horizontal="center" vertical="center" wrapText="1"/>
    </xf>
    <xf numFmtId="0" fontId="3" fillId="32" borderId="25" xfId="0" applyFont="1" applyFill="1" applyBorder="1" applyAlignment="1">
      <alignment horizontal="center"/>
    </xf>
    <xf numFmtId="0" fontId="28" fillId="0" borderId="0" xfId="0" applyFont="1" applyAlignment="1" applyProtection="1">
      <alignment horizontal="centerContinuous" vertical="top"/>
      <protection/>
    </xf>
    <xf numFmtId="3" fontId="4" fillId="0" borderId="0" xfId="0" applyNumberFormat="1" applyFont="1" applyFill="1" applyAlignment="1" applyProtection="1">
      <alignment horizontal="centerContinuous" vertical="top"/>
      <protection/>
    </xf>
    <xf numFmtId="196" fontId="4" fillId="0" borderId="0" xfId="0" applyNumberFormat="1" applyFont="1" applyAlignment="1" applyProtection="1">
      <alignment horizontal="centerContinuous" vertical="top"/>
      <protection/>
    </xf>
    <xf numFmtId="3" fontId="4" fillId="0" borderId="0" xfId="0" applyNumberFormat="1" applyFont="1" applyAlignment="1" applyProtection="1">
      <alignment horizontal="centerContinuous" vertical="top"/>
      <protection/>
    </xf>
    <xf numFmtId="0" fontId="28" fillId="34" borderId="26" xfId="0" applyFont="1" applyFill="1" applyBorder="1" applyAlignment="1" applyProtection="1">
      <alignment horizontal="center"/>
      <protection/>
    </xf>
    <xf numFmtId="3" fontId="28" fillId="34" borderId="26" xfId="0" applyNumberFormat="1" applyFont="1" applyFill="1" applyBorder="1" applyAlignment="1" applyProtection="1">
      <alignment horizontal="center" vertical="justify" wrapText="1"/>
      <protection/>
    </xf>
    <xf numFmtId="196" fontId="28" fillId="34" borderId="26" xfId="0" applyNumberFormat="1" applyFont="1" applyFill="1" applyBorder="1" applyAlignment="1" applyProtection="1">
      <alignment horizontal="center" vertical="justify" wrapText="1"/>
      <protection/>
    </xf>
    <xf numFmtId="3" fontId="3" fillId="34" borderId="26" xfId="0" applyNumberFormat="1" applyFont="1" applyFill="1" applyBorder="1" applyAlignment="1" applyProtection="1">
      <alignment horizontal="center" vertical="justify" wrapText="1"/>
      <protection/>
    </xf>
    <xf numFmtId="10" fontId="28" fillId="34" borderId="140" xfId="84" applyNumberFormat="1" applyFont="1" applyFill="1" applyBorder="1" applyAlignment="1" applyProtection="1">
      <alignment horizontal="right"/>
      <protection/>
    </xf>
    <xf numFmtId="196" fontId="28" fillId="34" borderId="141" xfId="0" applyNumberFormat="1" applyFont="1" applyFill="1" applyBorder="1" applyAlignment="1" applyProtection="1">
      <alignment/>
      <protection/>
    </xf>
    <xf numFmtId="10" fontId="28" fillId="34" borderId="142" xfId="84" applyNumberFormat="1" applyFont="1" applyFill="1" applyBorder="1" applyAlignment="1" applyProtection="1">
      <alignment horizontal="right"/>
      <protection/>
    </xf>
    <xf numFmtId="3" fontId="28" fillId="34" borderId="141" xfId="0" applyNumberFormat="1" applyFont="1" applyFill="1" applyBorder="1" applyAlignment="1" applyProtection="1">
      <alignment/>
      <protection/>
    </xf>
    <xf numFmtId="196" fontId="4" fillId="34" borderId="141" xfId="0" applyNumberFormat="1" applyFont="1" applyFill="1" applyBorder="1" applyAlignment="1" applyProtection="1">
      <alignment/>
      <protection/>
    </xf>
    <xf numFmtId="10" fontId="4" fillId="34" borderId="142" xfId="84" applyNumberFormat="1" applyFont="1" applyFill="1" applyBorder="1" applyAlignment="1" applyProtection="1">
      <alignment horizontal="right"/>
      <protection/>
    </xf>
    <xf numFmtId="37" fontId="4" fillId="34" borderId="108" xfId="0" applyNumberFormat="1" applyFont="1" applyFill="1" applyBorder="1" applyAlignment="1" applyProtection="1">
      <alignment/>
      <protection/>
    </xf>
    <xf numFmtId="3" fontId="4" fillId="34" borderId="141" xfId="0" applyNumberFormat="1" applyFont="1" applyFill="1" applyBorder="1" applyAlignment="1" applyProtection="1">
      <alignment/>
      <protection/>
    </xf>
    <xf numFmtId="37" fontId="28" fillId="34" borderId="108" xfId="0" applyNumberFormat="1" applyFont="1" applyFill="1" applyBorder="1" applyAlignment="1" applyProtection="1">
      <alignment/>
      <protection/>
    </xf>
    <xf numFmtId="37" fontId="4" fillId="34" borderId="108" xfId="0" applyNumberFormat="1" applyFont="1" applyFill="1" applyBorder="1" applyAlignment="1" applyProtection="1">
      <alignment horizontal="left" indent="1"/>
      <protection/>
    </xf>
    <xf numFmtId="0" fontId="4" fillId="34" borderId="108" xfId="0" applyFont="1" applyFill="1" applyBorder="1" applyAlignment="1" applyProtection="1">
      <alignment/>
      <protection/>
    </xf>
    <xf numFmtId="177" fontId="15" fillId="0" borderId="0" xfId="63" applyNumberFormat="1" applyFont="1" applyFill="1" applyAlignment="1">
      <alignment/>
    </xf>
    <xf numFmtId="177" fontId="0" fillId="0" borderId="0" xfId="0" applyNumberFormat="1" applyAlignment="1">
      <alignment/>
    </xf>
    <xf numFmtId="10" fontId="4" fillId="34" borderId="143" xfId="84" applyNumberFormat="1" applyFont="1" applyFill="1" applyBorder="1" applyAlignment="1" applyProtection="1">
      <alignment horizontal="right"/>
      <protection/>
    </xf>
    <xf numFmtId="0" fontId="4" fillId="34" borderId="144" xfId="0" applyFont="1" applyFill="1" applyBorder="1" applyAlignment="1" applyProtection="1">
      <alignment/>
      <protection/>
    </xf>
    <xf numFmtId="3" fontId="4" fillId="34" borderId="145" xfId="0" applyNumberFormat="1" applyFont="1" applyFill="1" applyBorder="1" applyAlignment="1" applyProtection="1">
      <alignment/>
      <protection/>
    </xf>
    <xf numFmtId="196" fontId="4" fillId="34" borderId="146" xfId="0" applyNumberFormat="1" applyFont="1" applyFill="1" applyBorder="1" applyAlignment="1" applyProtection="1">
      <alignment/>
      <protection/>
    </xf>
    <xf numFmtId="10" fontId="28" fillId="34" borderId="143" xfId="83" applyNumberFormat="1" applyFont="1" applyFill="1" applyBorder="1" applyAlignment="1" applyProtection="1">
      <alignment horizontal="right"/>
      <protection/>
    </xf>
    <xf numFmtId="0" fontId="28" fillId="33" borderId="31" xfId="0" applyFont="1" applyFill="1" applyBorder="1" applyAlignment="1" applyProtection="1">
      <alignment/>
      <protection/>
    </xf>
    <xf numFmtId="3" fontId="28" fillId="33" borderId="115" xfId="0" applyNumberFormat="1" applyFont="1" applyFill="1" applyBorder="1" applyAlignment="1" applyProtection="1">
      <alignment/>
      <protection/>
    </xf>
    <xf numFmtId="0" fontId="28" fillId="33" borderId="90" xfId="0" applyFont="1" applyFill="1" applyBorder="1" applyAlignment="1" applyProtection="1">
      <alignment/>
      <protection/>
    </xf>
    <xf numFmtId="196" fontId="28" fillId="33" borderId="27" xfId="0" applyNumberFormat="1" applyFont="1" applyFill="1" applyBorder="1" applyAlignment="1" applyProtection="1">
      <alignment/>
      <protection/>
    </xf>
    <xf numFmtId="10" fontId="28" fillId="33" borderId="32" xfId="83" applyNumberFormat="1" applyFont="1" applyFill="1" applyBorder="1" applyAlignment="1" applyProtection="1">
      <alignment horizontal="right"/>
      <protection/>
    </xf>
    <xf numFmtId="196" fontId="0" fillId="0" borderId="0" xfId="0" applyNumberFormat="1" applyAlignment="1">
      <alignment/>
    </xf>
    <xf numFmtId="0" fontId="0" fillId="0" borderId="0" xfId="0" applyFont="1" applyAlignment="1">
      <alignment horizontal="right"/>
    </xf>
    <xf numFmtId="179" fontId="0" fillId="0" borderId="0" xfId="64" applyFont="1" applyAlignment="1">
      <alignment/>
    </xf>
    <xf numFmtId="179" fontId="28" fillId="0" borderId="0" xfId="62" applyFont="1" applyFill="1" applyAlignment="1">
      <alignment horizontal="centerContinuous"/>
    </xf>
    <xf numFmtId="179" fontId="28" fillId="0" borderId="0" xfId="62" applyFont="1" applyFill="1" applyBorder="1" applyAlignment="1">
      <alignment horizontal="centerContinuous"/>
    </xf>
    <xf numFmtId="179" fontId="28" fillId="0" borderId="147" xfId="62" applyFont="1" applyFill="1" applyBorder="1" applyAlignment="1">
      <alignment/>
    </xf>
    <xf numFmtId="179" fontId="28" fillId="0" borderId="10" xfId="62" applyFont="1" applyFill="1" applyBorder="1" applyAlignment="1">
      <alignment/>
    </xf>
    <xf numFmtId="10" fontId="28" fillId="0" borderId="10" xfId="83" applyNumberFormat="1" applyFont="1" applyFill="1" applyBorder="1" applyAlignment="1">
      <alignment/>
    </xf>
    <xf numFmtId="10" fontId="28" fillId="34" borderId="111" xfId="83" applyNumberFormat="1" applyFont="1" applyFill="1" applyBorder="1" applyAlignment="1">
      <alignment/>
    </xf>
    <xf numFmtId="179" fontId="4" fillId="0" borderId="147" xfId="62" applyFont="1" applyFill="1" applyBorder="1" applyAlignment="1">
      <alignment/>
    </xf>
    <xf numFmtId="179" fontId="4" fillId="0" borderId="10" xfId="62" applyFont="1" applyFill="1" applyBorder="1" applyAlignment="1">
      <alignment/>
    </xf>
    <xf numFmtId="10" fontId="4" fillId="0" borderId="10" xfId="83" applyNumberFormat="1" applyFont="1" applyFill="1" applyBorder="1" applyAlignment="1">
      <alignment/>
    </xf>
    <xf numFmtId="10" fontId="4" fillId="34" borderId="111" xfId="83" applyNumberFormat="1" applyFont="1" applyFill="1" applyBorder="1" applyAlignment="1">
      <alignment/>
    </xf>
    <xf numFmtId="10" fontId="0" fillId="0" borderId="0" xfId="0" applyNumberFormat="1" applyAlignment="1">
      <alignment/>
    </xf>
    <xf numFmtId="179" fontId="28" fillId="0" borderId="147" xfId="62" applyFont="1" applyFill="1" applyBorder="1" applyAlignment="1">
      <alignment horizontal="left" vertical="center" wrapText="1"/>
    </xf>
    <xf numFmtId="9" fontId="28" fillId="0" borderId="10" xfId="83" applyFont="1" applyFill="1" applyBorder="1" applyAlignment="1">
      <alignment/>
    </xf>
    <xf numFmtId="179" fontId="28" fillId="0" borderId="124" xfId="62" applyFont="1" applyFill="1" applyBorder="1" applyAlignment="1">
      <alignment/>
    </xf>
    <xf numFmtId="179" fontId="28" fillId="0" borderId="48" xfId="62" applyFont="1" applyFill="1" applyBorder="1" applyAlignment="1">
      <alignment/>
    </xf>
    <xf numFmtId="181" fontId="28" fillId="0" borderId="48" xfId="62" applyNumberFormat="1" applyFont="1" applyFill="1" applyBorder="1" applyAlignment="1">
      <alignment/>
    </xf>
    <xf numFmtId="9" fontId="28" fillId="0" borderId="48" xfId="83" applyFont="1" applyFill="1" applyBorder="1" applyAlignment="1">
      <alignment/>
    </xf>
    <xf numFmtId="10" fontId="28" fillId="34" borderId="112" xfId="83" applyNumberFormat="1" applyFont="1" applyFill="1" applyBorder="1" applyAlignment="1">
      <alignment/>
    </xf>
    <xf numFmtId="179" fontId="53" fillId="0" borderId="0" xfId="62" applyFont="1" applyFill="1" applyAlignment="1">
      <alignment/>
    </xf>
    <xf numFmtId="179" fontId="53" fillId="0" borderId="0" xfId="62" applyFont="1" applyFill="1" applyAlignment="1">
      <alignment horizontal="right"/>
    </xf>
    <xf numFmtId="179" fontId="21" fillId="0" borderId="0" xfId="62" applyFont="1" applyFill="1" applyAlignment="1">
      <alignment/>
    </xf>
    <xf numFmtId="0" fontId="0" fillId="0" borderId="0" xfId="0" applyFont="1" applyAlignment="1">
      <alignment/>
    </xf>
    <xf numFmtId="0" fontId="3" fillId="32" borderId="39" xfId="0" applyFont="1" applyFill="1" applyBorder="1" applyAlignment="1">
      <alignment horizontal="center" wrapText="1"/>
    </xf>
    <xf numFmtId="0" fontId="0" fillId="0" borderId="0" xfId="0" applyFont="1" applyFill="1" applyBorder="1" applyAlignment="1">
      <alignment/>
    </xf>
    <xf numFmtId="181" fontId="3" fillId="32" borderId="10" xfId="62" applyNumberFormat="1" applyFont="1" applyFill="1" applyBorder="1" applyAlignment="1">
      <alignment/>
    </xf>
    <xf numFmtId="181" fontId="3" fillId="34" borderId="0" xfId="62" applyNumberFormat="1" applyFont="1" applyFill="1" applyBorder="1" applyAlignment="1">
      <alignment/>
    </xf>
    <xf numFmtId="0" fontId="3" fillId="32" borderId="10" xfId="0" applyFont="1" applyFill="1" applyBorder="1" applyAlignment="1">
      <alignment horizontal="center"/>
    </xf>
    <xf numFmtId="0" fontId="0" fillId="34" borderId="0" xfId="0"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pplyProtection="1">
      <alignment horizontal="center"/>
      <protection locked="0"/>
    </xf>
    <xf numFmtId="181" fontId="3" fillId="34" borderId="10" xfId="0" applyNumberFormat="1" applyFont="1" applyFill="1" applyBorder="1" applyAlignment="1">
      <alignment/>
    </xf>
    <xf numFmtId="181" fontId="3" fillId="34" borderId="0" xfId="0" applyNumberFormat="1" applyFont="1" applyFill="1" applyBorder="1" applyAlignment="1">
      <alignment/>
    </xf>
    <xf numFmtId="10" fontId="3" fillId="0" borderId="10" xfId="79" applyNumberFormat="1" applyFont="1" applyBorder="1" applyAlignment="1">
      <alignment/>
    </xf>
    <xf numFmtId="181" fontId="0" fillId="0" borderId="10" xfId="62" applyNumberFormat="1" applyFont="1" applyFill="1" applyBorder="1" applyAlignment="1">
      <alignment horizontal="right"/>
    </xf>
    <xf numFmtId="181" fontId="0" fillId="34" borderId="0" xfId="0" applyNumberFormat="1" applyFont="1" applyFill="1" applyBorder="1" applyAlignment="1">
      <alignment/>
    </xf>
    <xf numFmtId="181" fontId="0" fillId="34" borderId="10" xfId="62" applyNumberFormat="1" applyFont="1" applyFill="1" applyBorder="1" applyAlignment="1">
      <alignment/>
    </xf>
    <xf numFmtId="181" fontId="0" fillId="34" borderId="0" xfId="62" applyNumberFormat="1" applyFont="1" applyFill="1" applyBorder="1" applyAlignment="1">
      <alignment/>
    </xf>
    <xf numFmtId="10" fontId="0" fillId="0" borderId="10" xfId="79" applyNumberFormat="1" applyFont="1" applyBorder="1" applyAlignment="1">
      <alignment/>
    </xf>
    <xf numFmtId="181" fontId="0" fillId="0" borderId="0" xfId="62" applyNumberFormat="1" applyFont="1" applyFill="1" applyBorder="1" applyAlignment="1">
      <alignment horizontal="right"/>
    </xf>
    <xf numFmtId="181" fontId="0" fillId="34" borderId="10" xfId="64" applyNumberFormat="1" applyFont="1" applyFill="1" applyBorder="1" applyAlignment="1">
      <alignment/>
    </xf>
    <xf numFmtId="181" fontId="0" fillId="0" borderId="0" xfId="0" applyNumberFormat="1" applyFill="1" applyBorder="1" applyAlignment="1">
      <alignment/>
    </xf>
    <xf numFmtId="181" fontId="3" fillId="0" borderId="10" xfId="0" applyNumberFormat="1" applyFont="1" applyFill="1" applyBorder="1" applyAlignment="1">
      <alignment/>
    </xf>
    <xf numFmtId="181" fontId="3" fillId="0" borderId="0" xfId="62" applyNumberFormat="1" applyFont="1" applyFill="1" applyBorder="1" applyAlignment="1">
      <alignment/>
    </xf>
    <xf numFmtId="3" fontId="3" fillId="34" borderId="10" xfId="0" applyNumberFormat="1" applyFont="1" applyFill="1" applyBorder="1" applyAlignment="1">
      <alignment horizontal="left" vertical="center"/>
    </xf>
    <xf numFmtId="0" fontId="3" fillId="34" borderId="10" xfId="0" applyFont="1" applyFill="1" applyBorder="1" applyAlignment="1">
      <alignment horizontal="center"/>
    </xf>
    <xf numFmtId="181" fontId="3" fillId="34" borderId="10" xfId="62" applyNumberFormat="1" applyFont="1" applyFill="1" applyBorder="1" applyAlignment="1">
      <alignment/>
    </xf>
    <xf numFmtId="3" fontId="0" fillId="0" borderId="0" xfId="0" applyNumberFormat="1" applyFont="1" applyFill="1" applyBorder="1" applyAlignment="1">
      <alignment/>
    </xf>
    <xf numFmtId="0" fontId="0" fillId="34" borderId="10" xfId="0" applyFont="1" applyFill="1" applyBorder="1" applyAlignment="1">
      <alignment horizontal="center"/>
    </xf>
    <xf numFmtId="181" fontId="0" fillId="0" borderId="0" xfId="62" applyNumberFormat="1" applyFont="1" applyFill="1" applyBorder="1" applyAlignment="1">
      <alignment/>
    </xf>
    <xf numFmtId="181" fontId="0" fillId="0" borderId="0" xfId="62" applyNumberFormat="1" applyFont="1" applyFill="1" applyBorder="1" applyAlignment="1">
      <alignment/>
    </xf>
    <xf numFmtId="0" fontId="0" fillId="0" borderId="0" xfId="0" applyFont="1" applyFill="1" applyBorder="1" applyAlignment="1">
      <alignment horizontal="center"/>
    </xf>
    <xf numFmtId="10" fontId="0" fillId="0" borderId="0" xfId="79" applyNumberFormat="1" applyFont="1" applyBorder="1" applyAlignment="1">
      <alignment/>
    </xf>
    <xf numFmtId="0" fontId="3" fillId="0" borderId="10" xfId="0" applyFont="1" applyBorder="1" applyAlignment="1">
      <alignment horizontal="center"/>
    </xf>
    <xf numFmtId="181" fontId="3" fillId="0" borderId="0" xfId="62" applyNumberFormat="1" applyFont="1" applyBorder="1" applyAlignment="1">
      <alignment/>
    </xf>
    <xf numFmtId="181" fontId="0" fillId="0" borderId="0" xfId="62" applyNumberFormat="1" applyFont="1" applyBorder="1" applyAlignment="1">
      <alignment/>
    </xf>
    <xf numFmtId="181" fontId="3" fillId="32" borderId="10" xfId="0" applyNumberFormat="1" applyFont="1" applyFill="1" applyBorder="1" applyAlignment="1">
      <alignment/>
    </xf>
    <xf numFmtId="181" fontId="3" fillId="0" borderId="0" xfId="0" applyNumberFormat="1" applyFont="1" applyBorder="1" applyAlignment="1">
      <alignment/>
    </xf>
    <xf numFmtId="3" fontId="3" fillId="34" borderId="10" xfId="0" applyNumberFormat="1" applyFont="1" applyFill="1" applyBorder="1" applyAlignment="1">
      <alignment horizontal="left"/>
    </xf>
    <xf numFmtId="3" fontId="0" fillId="34" borderId="10" xfId="0" applyNumberFormat="1" applyFont="1" applyFill="1" applyBorder="1" applyAlignment="1">
      <alignment horizontal="left"/>
    </xf>
    <xf numFmtId="0" fontId="0" fillId="34" borderId="10" xfId="0" applyFill="1" applyBorder="1" applyAlignment="1">
      <alignment horizontal="center"/>
    </xf>
    <xf numFmtId="181" fontId="0" fillId="0" borderId="0" xfId="62" applyNumberFormat="1" applyFont="1" applyBorder="1" applyAlignment="1">
      <alignment/>
    </xf>
    <xf numFmtId="181" fontId="3" fillId="0" borderId="10" xfId="62" applyNumberFormat="1" applyFont="1" applyFill="1" applyBorder="1" applyAlignment="1">
      <alignment horizontal="right"/>
    </xf>
    <xf numFmtId="0" fontId="3" fillId="0" borderId="10" xfId="0" applyFont="1" applyFill="1" applyBorder="1" applyAlignment="1">
      <alignment/>
    </xf>
    <xf numFmtId="0" fontId="3" fillId="0" borderId="17" xfId="0" applyFont="1" applyFill="1" applyBorder="1" applyAlignment="1">
      <alignment horizontal="center"/>
    </xf>
    <xf numFmtId="181" fontId="3" fillId="0" borderId="10" xfId="62" applyNumberFormat="1" applyFont="1" applyFill="1" applyBorder="1" applyAlignment="1">
      <alignment/>
    </xf>
    <xf numFmtId="0" fontId="0" fillId="34" borderId="10" xfId="0" applyFont="1" applyFill="1" applyBorder="1" applyAlignment="1">
      <alignment/>
    </xf>
    <xf numFmtId="179" fontId="0" fillId="0" borderId="0" xfId="62" applyFont="1" applyBorder="1" applyAlignment="1">
      <alignment/>
    </xf>
    <xf numFmtId="3" fontId="0" fillId="0" borderId="0" xfId="0" applyNumberFormat="1" applyFont="1" applyFill="1" applyBorder="1" applyAlignment="1">
      <alignment horizontal="right"/>
    </xf>
    <xf numFmtId="0" fontId="3" fillId="32" borderId="25" xfId="0" applyFont="1" applyFill="1" applyBorder="1" applyAlignment="1">
      <alignment/>
    </xf>
    <xf numFmtId="3" fontId="3" fillId="34" borderId="0" xfId="0" applyNumberFormat="1" applyFont="1" applyFill="1" applyBorder="1" applyAlignment="1">
      <alignment horizontal="center"/>
    </xf>
    <xf numFmtId="181" fontId="3" fillId="0" borderId="0" xfId="0" applyNumberFormat="1" applyFont="1" applyFill="1" applyBorder="1" applyAlignment="1">
      <alignment horizontal="right"/>
    </xf>
    <xf numFmtId="181" fontId="3" fillId="34" borderId="0" xfId="0" applyNumberFormat="1" applyFont="1" applyFill="1" applyBorder="1" applyAlignment="1">
      <alignment horizontal="right"/>
    </xf>
    <xf numFmtId="194" fontId="0" fillId="0" borderId="0" xfId="0" applyNumberFormat="1" applyAlignment="1">
      <alignment/>
    </xf>
    <xf numFmtId="0" fontId="3" fillId="0" borderId="25" xfId="0" applyFont="1" applyBorder="1" applyAlignment="1">
      <alignment horizontal="center"/>
    </xf>
    <xf numFmtId="0" fontId="3" fillId="0" borderId="27" xfId="0" applyFont="1" applyBorder="1" applyAlignment="1">
      <alignment horizontal="center"/>
    </xf>
    <xf numFmtId="0" fontId="3" fillId="0" borderId="64" xfId="0" applyFont="1" applyBorder="1" applyAlignment="1">
      <alignment horizontal="center"/>
    </xf>
    <xf numFmtId="43" fontId="0" fillId="0" borderId="0" xfId="0" applyNumberFormat="1" applyAlignment="1">
      <alignment/>
    </xf>
    <xf numFmtId="181" fontId="0" fillId="34" borderId="10" xfId="64" applyNumberFormat="1" applyFont="1" applyFill="1" applyBorder="1" applyAlignment="1">
      <alignment horizontal="right"/>
    </xf>
    <xf numFmtId="0" fontId="24" fillId="34" borderId="10" xfId="0" applyFont="1" applyFill="1" applyBorder="1" applyAlignment="1">
      <alignment horizontal="center"/>
    </xf>
    <xf numFmtId="181" fontId="24" fillId="34" borderId="10" xfId="62" applyNumberFormat="1" applyFont="1" applyFill="1" applyBorder="1" applyAlignment="1">
      <alignment/>
    </xf>
    <xf numFmtId="0" fontId="28" fillId="34" borderId="107" xfId="0" applyFont="1" applyFill="1" applyBorder="1" applyAlignment="1" applyProtection="1">
      <alignment horizontal="left"/>
      <protection/>
    </xf>
    <xf numFmtId="3" fontId="28" fillId="34" borderId="140" xfId="0" applyNumberFormat="1" applyFont="1" applyFill="1" applyBorder="1" applyAlignment="1" applyProtection="1">
      <alignment horizontal="right"/>
      <protection/>
    </xf>
    <xf numFmtId="0" fontId="28" fillId="34" borderId="148" xfId="0" applyFont="1" applyFill="1" applyBorder="1" applyAlignment="1" applyProtection="1">
      <alignment horizontal="left"/>
      <protection/>
    </xf>
    <xf numFmtId="196" fontId="28" fillId="34" borderId="149" xfId="0" applyNumberFormat="1" applyFont="1" applyFill="1" applyBorder="1" applyAlignment="1" applyProtection="1">
      <alignment horizontal="right"/>
      <protection/>
    </xf>
    <xf numFmtId="0" fontId="4" fillId="34" borderId="108" xfId="0" applyFont="1" applyFill="1" applyBorder="1" applyAlignment="1" applyProtection="1">
      <alignment horizontal="left"/>
      <protection/>
    </xf>
    <xf numFmtId="3" fontId="28" fillId="34" borderId="142" xfId="0" applyNumberFormat="1" applyFont="1" applyFill="1" applyBorder="1" applyAlignment="1" applyProtection="1">
      <alignment/>
      <protection/>
    </xf>
    <xf numFmtId="0" fontId="4" fillId="34" borderId="150" xfId="0" applyFont="1" applyFill="1" applyBorder="1" applyAlignment="1" applyProtection="1">
      <alignment horizontal="left"/>
      <protection/>
    </xf>
    <xf numFmtId="0" fontId="28" fillId="34" borderId="108" xfId="0" applyFont="1" applyFill="1" applyBorder="1" applyAlignment="1" applyProtection="1">
      <alignment horizontal="left"/>
      <protection/>
    </xf>
    <xf numFmtId="37" fontId="4" fillId="34" borderId="151" xfId="0" applyNumberFormat="1" applyFont="1" applyFill="1" applyBorder="1" applyAlignment="1">
      <alignment/>
    </xf>
    <xf numFmtId="0" fontId="28" fillId="34" borderId="108" xfId="0" applyFont="1" applyFill="1" applyBorder="1" applyAlignment="1" applyProtection="1">
      <alignment/>
      <protection/>
    </xf>
    <xf numFmtId="37" fontId="28" fillId="34" borderId="141" xfId="62" applyNumberFormat="1" applyFont="1" applyFill="1" applyBorder="1" applyAlignment="1" applyProtection="1">
      <alignment/>
      <protection/>
    </xf>
    <xf numFmtId="196" fontId="28" fillId="34" borderId="141" xfId="62" applyNumberFormat="1" applyFont="1" applyFill="1" applyBorder="1" applyAlignment="1" applyProtection="1">
      <alignment/>
      <protection/>
    </xf>
    <xf numFmtId="196" fontId="28" fillId="34" borderId="141" xfId="63" applyNumberFormat="1" applyFont="1" applyFill="1" applyBorder="1" applyAlignment="1" applyProtection="1">
      <alignment/>
      <protection/>
    </xf>
    <xf numFmtId="196" fontId="4" fillId="34" borderId="141" xfId="62" applyNumberFormat="1" applyFont="1" applyFill="1" applyBorder="1" applyAlignment="1" applyProtection="1">
      <alignment/>
      <protection/>
    </xf>
    <xf numFmtId="37" fontId="4" fillId="34" borderId="151" xfId="0" applyNumberFormat="1" applyFont="1" applyFill="1" applyBorder="1" applyAlignment="1">
      <alignment horizontal="left"/>
    </xf>
    <xf numFmtId="37" fontId="4" fillId="34" borderId="152" xfId="0" applyNumberFormat="1" applyFont="1" applyFill="1" applyBorder="1" applyAlignment="1">
      <alignment horizontal="left"/>
    </xf>
    <xf numFmtId="196" fontId="15" fillId="34" borderId="141" xfId="62" applyNumberFormat="1" applyFont="1" applyFill="1" applyBorder="1" applyAlignment="1">
      <alignment/>
    </xf>
    <xf numFmtId="37" fontId="4" fillId="34" borderId="97" xfId="0" applyNumberFormat="1" applyFont="1" applyFill="1" applyBorder="1" applyAlignment="1">
      <alignment horizontal="left" wrapText="1"/>
    </xf>
    <xf numFmtId="37" fontId="4" fillId="34" borderId="144" xfId="0" applyNumberFormat="1" applyFont="1" applyFill="1" applyBorder="1" applyAlignment="1" applyProtection="1">
      <alignment/>
      <protection/>
    </xf>
    <xf numFmtId="3" fontId="4" fillId="34" borderId="153" xfId="0" applyNumberFormat="1" applyFont="1" applyFill="1" applyBorder="1" applyAlignment="1" applyProtection="1">
      <alignment/>
      <protection/>
    </xf>
    <xf numFmtId="181" fontId="0" fillId="34" borderId="0" xfId="51" applyNumberFormat="1" applyFont="1" applyFill="1" applyBorder="1" applyAlignment="1">
      <alignment horizontal="right"/>
    </xf>
    <xf numFmtId="0" fontId="0" fillId="34" borderId="0" xfId="0" applyFont="1" applyFill="1" applyBorder="1" applyAlignment="1" applyProtection="1">
      <alignment horizontal="center"/>
      <protection locked="0"/>
    </xf>
    <xf numFmtId="181" fontId="4" fillId="0" borderId="19" xfId="0" applyNumberFormat="1" applyFont="1" applyFill="1" applyBorder="1" applyAlignment="1">
      <alignment/>
    </xf>
    <xf numFmtId="179" fontId="54" fillId="34" borderId="0" xfId="62" applyFont="1" applyFill="1" applyAlignment="1">
      <alignment/>
    </xf>
    <xf numFmtId="179" fontId="53" fillId="34" borderId="0" xfId="62" applyFont="1" applyFill="1" applyAlignment="1">
      <alignment/>
    </xf>
    <xf numFmtId="0" fontId="24" fillId="34" borderId="0" xfId="0" applyFont="1" applyFill="1" applyAlignment="1">
      <alignment/>
    </xf>
    <xf numFmtId="179" fontId="49" fillId="34" borderId="0" xfId="62" applyFont="1" applyFill="1" applyAlignment="1">
      <alignment/>
    </xf>
    <xf numFmtId="181" fontId="33" fillId="0" borderId="102" xfId="51" applyNumberFormat="1" applyFont="1" applyFill="1" applyBorder="1" applyAlignment="1">
      <alignment horizontal="right"/>
    </xf>
    <xf numFmtId="181" fontId="5" fillId="0" borderId="56" xfId="58" applyNumberFormat="1" applyFont="1" applyFill="1" applyBorder="1" applyAlignment="1">
      <alignment horizontal="center" vertical="justify" wrapText="1"/>
    </xf>
    <xf numFmtId="181" fontId="28" fillId="0" borderId="10" xfId="62" applyNumberFormat="1" applyFont="1" applyFill="1" applyBorder="1" applyAlignment="1">
      <alignment/>
    </xf>
    <xf numFmtId="181" fontId="6" fillId="0" borderId="10" xfId="58" applyNumberFormat="1" applyFont="1" applyFill="1" applyBorder="1" applyAlignment="1">
      <alignment/>
    </xf>
    <xf numFmtId="181" fontId="4" fillId="0" borderId="10" xfId="62" applyNumberFormat="1" applyFont="1" applyFill="1" applyBorder="1" applyAlignment="1">
      <alignment/>
    </xf>
    <xf numFmtId="181" fontId="5" fillId="0" borderId="10" xfId="58" applyNumberFormat="1" applyFont="1" applyFill="1" applyBorder="1" applyAlignment="1">
      <alignment/>
    </xf>
    <xf numFmtId="179" fontId="6" fillId="0" borderId="10" xfId="62" applyFont="1" applyFill="1" applyBorder="1" applyAlignment="1">
      <alignment/>
    </xf>
    <xf numFmtId="181" fontId="5" fillId="0" borderId="48" xfId="62" applyNumberFormat="1" applyFont="1" applyFill="1" applyBorder="1" applyAlignment="1">
      <alignment/>
    </xf>
    <xf numFmtId="181" fontId="28" fillId="0" borderId="48" xfId="59" applyNumberFormat="1" applyFont="1" applyFill="1" applyBorder="1" applyAlignment="1">
      <alignment/>
    </xf>
    <xf numFmtId="179" fontId="49" fillId="0" borderId="0" xfId="62" applyFont="1" applyFill="1" applyAlignment="1">
      <alignment/>
    </xf>
    <xf numFmtId="181" fontId="28" fillId="0" borderId="99" xfId="51" applyNumberFormat="1" applyFont="1" applyFill="1" applyBorder="1" applyAlignment="1">
      <alignment/>
    </xf>
    <xf numFmtId="0" fontId="28" fillId="0" borderId="0" xfId="0" applyFont="1" applyFill="1" applyAlignment="1">
      <alignment horizontal="center"/>
    </xf>
    <xf numFmtId="0" fontId="28" fillId="0" borderId="0" xfId="0" applyFont="1" applyFill="1" applyBorder="1" applyAlignment="1">
      <alignment horizontal="center"/>
    </xf>
    <xf numFmtId="0" fontId="16" fillId="0" borderId="44" xfId="0" applyFont="1" applyFill="1" applyBorder="1" applyAlignment="1">
      <alignment horizontal="center"/>
    </xf>
    <xf numFmtId="0" fontId="16" fillId="0" borderId="43" xfId="0" applyFont="1" applyFill="1" applyBorder="1" applyAlignment="1">
      <alignment horizontal="center"/>
    </xf>
    <xf numFmtId="0" fontId="28" fillId="0" borderId="126" xfId="0" applyFont="1" applyFill="1" applyBorder="1" applyAlignment="1">
      <alignment horizontal="center"/>
    </xf>
    <xf numFmtId="0" fontId="28" fillId="0" borderId="74" xfId="0" applyFont="1" applyFill="1" applyBorder="1" applyAlignment="1">
      <alignment horizontal="center"/>
    </xf>
    <xf numFmtId="0" fontId="28" fillId="0" borderId="85" xfId="0" applyFont="1" applyFill="1" applyBorder="1" applyAlignment="1">
      <alignment horizontal="center"/>
    </xf>
    <xf numFmtId="0" fontId="0" fillId="0" borderId="10" xfId="0" applyFont="1" applyFill="1" applyBorder="1" applyAlignment="1">
      <alignment horizontal="left" wrapText="1"/>
    </xf>
    <xf numFmtId="0" fontId="3" fillId="32" borderId="10" xfId="0" applyFont="1" applyFill="1" applyBorder="1" applyAlignment="1">
      <alignment horizontal="center" vertical="center" wrapText="1"/>
    </xf>
    <xf numFmtId="0" fontId="28" fillId="34" borderId="0" xfId="0" applyFont="1" applyFill="1" applyBorder="1" applyAlignment="1">
      <alignment horizontal="right"/>
    </xf>
    <xf numFmtId="0" fontId="3" fillId="35" borderId="10" xfId="0" applyFont="1" applyFill="1" applyBorder="1" applyAlignment="1">
      <alignment horizontal="center" vertical="center" wrapText="1"/>
    </xf>
    <xf numFmtId="0" fontId="0" fillId="0" borderId="44" xfId="0" applyFont="1" applyFill="1" applyBorder="1" applyAlignment="1">
      <alignment horizontal="left" wrapText="1"/>
    </xf>
    <xf numFmtId="0" fontId="0" fillId="0" borderId="43" xfId="0" applyFont="1" applyFill="1" applyBorder="1" applyAlignment="1">
      <alignment horizontal="left" wrapText="1"/>
    </xf>
    <xf numFmtId="0" fontId="3" fillId="32" borderId="44" xfId="0" applyFont="1" applyFill="1" applyBorder="1" applyAlignment="1">
      <alignment horizontal="center" vertical="center" wrapText="1"/>
    </xf>
    <xf numFmtId="0" fontId="3" fillId="32" borderId="43" xfId="0" applyFont="1" applyFill="1" applyBorder="1" applyAlignment="1">
      <alignment horizontal="center" vertical="center" wrapText="1"/>
    </xf>
    <xf numFmtId="0" fontId="28" fillId="0" borderId="0" xfId="0" applyFont="1" applyFill="1" applyAlignment="1">
      <alignment horizontal="center"/>
    </xf>
    <xf numFmtId="0" fontId="3" fillId="35" borderId="44"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0" fillId="0" borderId="44" xfId="0" applyFont="1" applyFill="1" applyBorder="1" applyAlignment="1">
      <alignment horizontal="left"/>
    </xf>
    <xf numFmtId="0" fontId="0" fillId="0" borderId="43" xfId="0" applyFont="1" applyFill="1" applyBorder="1" applyAlignment="1">
      <alignment horizontal="left"/>
    </xf>
    <xf numFmtId="0" fontId="5" fillId="0" borderId="0" xfId="0" applyFont="1" applyBorder="1" applyAlignment="1">
      <alignment horizontal="center"/>
    </xf>
    <xf numFmtId="0" fontId="5" fillId="0" borderId="0" xfId="0" applyFont="1" applyAlignment="1">
      <alignment horizontal="center"/>
    </xf>
    <xf numFmtId="0" fontId="5" fillId="0" borderId="102" xfId="0" applyFont="1" applyBorder="1" applyAlignment="1">
      <alignment horizontal="center"/>
    </xf>
    <xf numFmtId="0" fontId="46" fillId="0" borderId="0" xfId="0" applyFont="1" applyAlignment="1">
      <alignment horizontal="center"/>
    </xf>
    <xf numFmtId="3" fontId="46" fillId="0" borderId="0" xfId="0" applyNumberFormat="1" applyFont="1" applyBorder="1" applyAlignment="1">
      <alignment horizontal="center"/>
    </xf>
    <xf numFmtId="0" fontId="3" fillId="4" borderId="10" xfId="72" applyFont="1" applyFill="1" applyBorder="1" applyAlignment="1">
      <alignment horizontal="center"/>
      <protection/>
    </xf>
    <xf numFmtId="0" fontId="41" fillId="40" borderId="10" xfId="72" applyFont="1" applyFill="1" applyBorder="1" applyAlignment="1">
      <alignment horizontal="center"/>
      <protection/>
    </xf>
    <xf numFmtId="0" fontId="3" fillId="4" borderId="10" xfId="72" applyFont="1" applyFill="1" applyBorder="1" applyAlignment="1">
      <alignment horizontal="center" vertical="center"/>
      <protection/>
    </xf>
    <xf numFmtId="0" fontId="3" fillId="34" borderId="10" xfId="72" applyFont="1" applyFill="1" applyBorder="1" applyAlignment="1">
      <alignment horizontal="center" vertical="center" wrapText="1"/>
      <protection/>
    </xf>
    <xf numFmtId="0" fontId="3" fillId="4" borderId="44" xfId="72" applyFont="1" applyFill="1" applyBorder="1" applyAlignment="1">
      <alignment horizontal="center"/>
      <protection/>
    </xf>
    <xf numFmtId="0" fontId="3" fillId="4" borderId="43" xfId="72" applyFont="1" applyFill="1" applyBorder="1" applyAlignment="1">
      <alignment horizontal="center"/>
      <protection/>
    </xf>
    <xf numFmtId="0" fontId="3" fillId="34" borderId="10" xfId="72" applyFont="1" applyFill="1" applyBorder="1" applyAlignment="1">
      <alignment horizontal="center" vertical="top" wrapText="1"/>
      <protection/>
    </xf>
    <xf numFmtId="0" fontId="3" fillId="34" borderId="0" xfId="72" applyFont="1" applyFill="1" applyBorder="1" applyAlignment="1">
      <alignment horizontal="center" vertical="top" wrapText="1"/>
      <protection/>
    </xf>
    <xf numFmtId="0" fontId="3" fillId="34" borderId="10" xfId="72" applyFont="1" applyFill="1" applyBorder="1" applyAlignment="1">
      <alignment horizontal="center" vertical="center"/>
      <protection/>
    </xf>
    <xf numFmtId="190" fontId="0" fillId="0" borderId="10" xfId="72" applyNumberFormat="1" applyBorder="1" applyAlignment="1">
      <alignment horizontal="center"/>
      <protection/>
    </xf>
    <xf numFmtId="0" fontId="0" fillId="0" borderId="10" xfId="72" applyBorder="1" applyAlignment="1">
      <alignment horizontal="center"/>
      <protection/>
    </xf>
    <xf numFmtId="0" fontId="0" fillId="0" borderId="56" xfId="72" applyFont="1" applyBorder="1" applyAlignment="1">
      <alignment horizontal="center"/>
      <protection/>
    </xf>
    <xf numFmtId="0" fontId="0" fillId="0" borderId="40" xfId="72" applyFont="1" applyBorder="1" applyAlignment="1">
      <alignment horizontal="center"/>
      <protection/>
    </xf>
    <xf numFmtId="0" fontId="0" fillId="0" borderId="17" xfId="72" applyFont="1" applyBorder="1" applyAlignment="1">
      <alignment horizontal="center"/>
      <protection/>
    </xf>
    <xf numFmtId="190" fontId="0" fillId="0" borderId="56" xfId="72" applyNumberFormat="1" applyBorder="1" applyAlignment="1">
      <alignment horizontal="center"/>
      <protection/>
    </xf>
    <xf numFmtId="190" fontId="0" fillId="0" borderId="40" xfId="72" applyNumberFormat="1" applyBorder="1" applyAlignment="1">
      <alignment horizontal="center"/>
      <protection/>
    </xf>
    <xf numFmtId="190" fontId="0" fillId="0" borderId="17" xfId="72" applyNumberFormat="1" applyBorder="1" applyAlignment="1">
      <alignment horizontal="center"/>
      <protection/>
    </xf>
    <xf numFmtId="192" fontId="0" fillId="0" borderId="56" xfId="72" applyNumberFormat="1" applyFill="1" applyBorder="1" applyAlignment="1">
      <alignment horizontal="center"/>
      <protection/>
    </xf>
    <xf numFmtId="192" fontId="0" fillId="0" borderId="40" xfId="72" applyNumberFormat="1" applyFill="1" applyBorder="1" applyAlignment="1">
      <alignment horizontal="center"/>
      <protection/>
    </xf>
    <xf numFmtId="192" fontId="0" fillId="0" borderId="17" xfId="72" applyNumberFormat="1" applyFill="1" applyBorder="1" applyAlignment="1">
      <alignment horizontal="center"/>
      <protection/>
    </xf>
    <xf numFmtId="190" fontId="0" fillId="0" borderId="10" xfId="72" applyNumberFormat="1" applyFill="1" applyBorder="1" applyAlignment="1">
      <alignment horizontal="center"/>
      <protection/>
    </xf>
    <xf numFmtId="0" fontId="8" fillId="37" borderId="10" xfId="48" applyFill="1" applyBorder="1" applyAlignment="1" applyProtection="1">
      <alignment horizontal="center"/>
      <protection/>
    </xf>
    <xf numFmtId="192" fontId="0" fillId="0" borderId="10" xfId="72" applyNumberFormat="1" applyFill="1" applyBorder="1" applyAlignment="1">
      <alignment horizontal="center"/>
      <protection/>
    </xf>
    <xf numFmtId="0" fontId="28" fillId="32" borderId="30" xfId="0" applyFont="1" applyFill="1" applyBorder="1" applyAlignment="1">
      <alignment horizontal="center"/>
    </xf>
    <xf numFmtId="0" fontId="28" fillId="32" borderId="33" xfId="0" applyFont="1" applyFill="1" applyBorder="1" applyAlignment="1">
      <alignment horizontal="center"/>
    </xf>
    <xf numFmtId="0" fontId="28" fillId="32" borderId="36" xfId="0" applyFont="1" applyFill="1" applyBorder="1" applyAlignment="1">
      <alignment horizontal="center"/>
    </xf>
    <xf numFmtId="0" fontId="28" fillId="32" borderId="23" xfId="0" applyFont="1" applyFill="1" applyBorder="1" applyAlignment="1">
      <alignment horizontal="center"/>
    </xf>
    <xf numFmtId="0" fontId="28" fillId="32" borderId="24" xfId="0" applyFont="1" applyFill="1" applyBorder="1" applyAlignment="1">
      <alignment horizontal="center"/>
    </xf>
    <xf numFmtId="0" fontId="28" fillId="32" borderId="38" xfId="0" applyFont="1" applyFill="1" applyBorder="1" applyAlignment="1">
      <alignment horizontal="center"/>
    </xf>
    <xf numFmtId="0" fontId="28" fillId="32" borderId="25" xfId="0" applyFont="1" applyFill="1" applyBorder="1" applyAlignment="1">
      <alignment horizontal="center"/>
    </xf>
    <xf numFmtId="0" fontId="28" fillId="32" borderId="27" xfId="0" applyFont="1" applyFill="1" applyBorder="1" applyAlignment="1">
      <alignment horizontal="center"/>
    </xf>
    <xf numFmtId="0" fontId="28" fillId="32" borderId="64" xfId="0" applyFont="1" applyFill="1" applyBorder="1" applyAlignment="1">
      <alignment horizontal="center"/>
    </xf>
    <xf numFmtId="181" fontId="2" fillId="32" borderId="25" xfId="84" applyNumberFormat="1" applyFont="1" applyFill="1" applyBorder="1" applyAlignment="1">
      <alignment horizontal="center"/>
    </xf>
    <xf numFmtId="181" fontId="2" fillId="32" borderId="27" xfId="84" applyNumberFormat="1" applyFont="1" applyFill="1" applyBorder="1" applyAlignment="1">
      <alignment horizontal="center"/>
    </xf>
    <xf numFmtId="181" fontId="2" fillId="32" borderId="64" xfId="84" applyNumberFormat="1" applyFont="1" applyFill="1" applyBorder="1" applyAlignment="1">
      <alignment horizontal="center"/>
    </xf>
    <xf numFmtId="181" fontId="36" fillId="32" borderId="42" xfId="51" applyNumberFormat="1" applyFont="1" applyFill="1" applyBorder="1" applyAlignment="1">
      <alignment horizontal="center"/>
    </xf>
    <xf numFmtId="181" fontId="36" fillId="32" borderId="43" xfId="51" applyNumberFormat="1" applyFont="1" applyFill="1" applyBorder="1" applyAlignment="1">
      <alignment horizontal="center"/>
    </xf>
    <xf numFmtId="0" fontId="36" fillId="34" borderId="124" xfId="0" applyFont="1" applyFill="1" applyBorder="1" applyAlignment="1">
      <alignment horizontal="center"/>
    </xf>
    <xf numFmtId="0" fontId="36" fillId="34" borderId="48" xfId="0" applyFont="1" applyFill="1" applyBorder="1" applyAlignment="1">
      <alignment horizontal="center"/>
    </xf>
    <xf numFmtId="0" fontId="36" fillId="34" borderId="112" xfId="0" applyFont="1" applyFill="1" applyBorder="1" applyAlignment="1">
      <alignment horizontal="center"/>
    </xf>
    <xf numFmtId="0" fontId="28" fillId="34" borderId="25" xfId="0" applyFont="1" applyFill="1" applyBorder="1" applyAlignment="1">
      <alignment horizontal="center"/>
    </xf>
    <xf numFmtId="0" fontId="28" fillId="34" borderId="27" xfId="0" applyFont="1" applyFill="1" applyBorder="1" applyAlignment="1">
      <alignment horizontal="center"/>
    </xf>
    <xf numFmtId="0" fontId="28" fillId="34" borderId="64" xfId="0" applyFont="1" applyFill="1" applyBorder="1" applyAlignment="1">
      <alignment horizontal="center"/>
    </xf>
    <xf numFmtId="0" fontId="43" fillId="34" borderId="123" xfId="0" applyFont="1" applyFill="1" applyBorder="1" applyAlignment="1">
      <alignment horizontal="center"/>
    </xf>
    <xf numFmtId="0" fontId="43" fillId="34" borderId="61" xfId="0" applyFont="1" applyFill="1" applyBorder="1" applyAlignment="1">
      <alignment horizontal="center"/>
    </xf>
    <xf numFmtId="0" fontId="43" fillId="34" borderId="154" xfId="0" applyFont="1" applyFill="1" applyBorder="1" applyAlignment="1">
      <alignment horizontal="center"/>
    </xf>
    <xf numFmtId="0" fontId="43" fillId="34" borderId="147" xfId="0" applyFont="1" applyFill="1" applyBorder="1" applyAlignment="1">
      <alignment horizontal="center"/>
    </xf>
    <xf numFmtId="0" fontId="43" fillId="34" borderId="10" xfId="0" applyFont="1" applyFill="1" applyBorder="1" applyAlignment="1">
      <alignment horizontal="center"/>
    </xf>
    <xf numFmtId="0" fontId="43" fillId="34" borderId="111" xfId="0" applyFont="1" applyFill="1" applyBorder="1" applyAlignment="1">
      <alignment horizontal="center"/>
    </xf>
    <xf numFmtId="0" fontId="28" fillId="0" borderId="0" xfId="0" applyFont="1" applyAlignment="1" applyProtection="1">
      <alignment horizontal="center"/>
      <protection/>
    </xf>
    <xf numFmtId="0" fontId="28" fillId="0" borderId="0" xfId="0" applyFont="1" applyAlignment="1" applyProtection="1">
      <alignment horizontal="center" vertical="top"/>
      <protection/>
    </xf>
    <xf numFmtId="179" fontId="28" fillId="0" borderId="127" xfId="62" applyFont="1" applyFill="1" applyBorder="1" applyAlignment="1">
      <alignment horizontal="center" vertical="justify" wrapText="1"/>
    </xf>
    <xf numFmtId="179" fontId="28" fillId="0" borderId="110" xfId="62" applyFont="1" applyFill="1" applyBorder="1" applyAlignment="1">
      <alignment horizontal="center" vertical="justify" wrapText="1"/>
    </xf>
    <xf numFmtId="179" fontId="28" fillId="0" borderId="22" xfId="62" applyFont="1" applyFill="1" applyBorder="1" applyAlignment="1">
      <alignment horizontal="center" vertical="justify" wrapText="1"/>
    </xf>
    <xf numFmtId="179" fontId="28" fillId="0" borderId="17" xfId="62" applyFont="1" applyFill="1" applyBorder="1" applyAlignment="1">
      <alignment horizontal="center" vertical="justify" wrapText="1"/>
    </xf>
    <xf numFmtId="0" fontId="28" fillId="0" borderId="17" xfId="0" applyFont="1" applyFill="1" applyBorder="1" applyAlignment="1">
      <alignment horizontal="center" vertical="justify" wrapText="1"/>
    </xf>
    <xf numFmtId="179" fontId="28" fillId="0" borderId="22" xfId="62" applyFont="1" applyFill="1" applyBorder="1" applyAlignment="1">
      <alignment horizontal="center" vertical="center" wrapText="1"/>
    </xf>
    <xf numFmtId="179" fontId="28" fillId="0" borderId="17" xfId="62" applyFont="1" applyFill="1" applyBorder="1" applyAlignment="1">
      <alignment horizontal="center" vertical="center" wrapText="1"/>
    </xf>
    <xf numFmtId="179" fontId="28" fillId="0" borderId="126" xfId="62" applyFont="1" applyFill="1" applyBorder="1" applyAlignment="1">
      <alignment horizontal="center" vertical="center" wrapText="1"/>
    </xf>
    <xf numFmtId="179" fontId="28" fillId="0" borderId="155" xfId="62"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32" borderId="19" xfId="0" applyFont="1" applyFill="1" applyBorder="1" applyAlignment="1">
      <alignment horizontal="center" wrapText="1"/>
    </xf>
    <xf numFmtId="0" fontId="28" fillId="32" borderId="20" xfId="0" applyFont="1" applyFill="1" applyBorder="1" applyAlignment="1">
      <alignment horizontal="center" wrapText="1"/>
    </xf>
    <xf numFmtId="0" fontId="28" fillId="32" borderId="19" xfId="0" applyFont="1" applyFill="1" applyBorder="1" applyAlignment="1">
      <alignment horizontal="center"/>
    </xf>
    <xf numFmtId="0" fontId="28" fillId="32" borderId="20"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36" fillId="34" borderId="0" xfId="0" applyFont="1" applyFill="1" applyAlignment="1">
      <alignment horizontal="center"/>
    </xf>
    <xf numFmtId="0" fontId="28" fillId="0" borderId="0" xfId="0" applyFont="1" applyFill="1" applyBorder="1" applyAlignment="1">
      <alignment horizontal="center"/>
    </xf>
    <xf numFmtId="0" fontId="28" fillId="32" borderId="30" xfId="0" applyFont="1" applyFill="1" applyBorder="1" applyAlignment="1">
      <alignment horizontal="center"/>
    </xf>
    <xf numFmtId="0" fontId="28" fillId="32" borderId="0" xfId="0" applyFont="1" applyFill="1" applyBorder="1" applyAlignment="1">
      <alignment horizontal="center"/>
    </xf>
    <xf numFmtId="0" fontId="28" fillId="32" borderId="33" xfId="0" applyFont="1" applyFill="1" applyBorder="1" applyAlignment="1">
      <alignment horizontal="center"/>
    </xf>
    <xf numFmtId="0" fontId="28" fillId="32" borderId="23" xfId="0" applyFont="1" applyFill="1" applyBorder="1" applyAlignment="1">
      <alignment horizontal="center"/>
    </xf>
    <xf numFmtId="0" fontId="28" fillId="32" borderId="24" xfId="0" applyFont="1" applyFill="1" applyBorder="1" applyAlignment="1">
      <alignment horizontal="center"/>
    </xf>
    <xf numFmtId="178" fontId="3" fillId="32" borderId="30" xfId="68" applyFont="1" applyFill="1" applyBorder="1" applyAlignment="1">
      <alignment horizontal="center"/>
    </xf>
    <xf numFmtId="178" fontId="3" fillId="32" borderId="36" xfId="68" applyFont="1" applyFill="1" applyBorder="1" applyAlignment="1">
      <alignment horizontal="center"/>
    </xf>
    <xf numFmtId="178" fontId="3" fillId="32" borderId="23" xfId="68" applyFont="1" applyFill="1" applyBorder="1" applyAlignment="1">
      <alignment horizontal="center"/>
    </xf>
    <xf numFmtId="178" fontId="3" fillId="32" borderId="38" xfId="68" applyFont="1" applyFill="1" applyBorder="1" applyAlignment="1">
      <alignment horizontal="center"/>
    </xf>
    <xf numFmtId="0" fontId="3" fillId="32" borderId="64" xfId="0" applyFont="1" applyFill="1" applyBorder="1" applyAlignment="1">
      <alignment horizontal="center"/>
    </xf>
    <xf numFmtId="0" fontId="3" fillId="32" borderId="19" xfId="0" applyFont="1" applyFill="1" applyBorder="1" applyAlignment="1">
      <alignment horizontal="center" vertical="justify" wrapText="1"/>
    </xf>
    <xf numFmtId="0" fontId="3" fillId="32" borderId="20" xfId="0" applyFont="1" applyFill="1" applyBorder="1" applyAlignment="1">
      <alignment horizontal="center" vertical="justify" wrapText="1"/>
    </xf>
    <xf numFmtId="181" fontId="3" fillId="0" borderId="90" xfId="0" applyNumberFormat="1" applyFont="1" applyBorder="1" applyAlignment="1">
      <alignment horizontal="center"/>
    </xf>
    <xf numFmtId="0" fontId="3" fillId="0" borderId="32" xfId="0" applyFont="1" applyBorder="1" applyAlignment="1">
      <alignment horizontal="center"/>
    </xf>
    <xf numFmtId="0" fontId="3" fillId="32" borderId="58" xfId="0" applyFont="1" applyFill="1" applyBorder="1" applyAlignment="1">
      <alignment horizontal="center" vertical="justify" wrapText="1"/>
    </xf>
    <xf numFmtId="0" fontId="3" fillId="32" borderId="45" xfId="0" applyFont="1" applyFill="1" applyBorder="1" applyAlignment="1">
      <alignment horizontal="center" vertical="justify" wrapText="1"/>
    </xf>
    <xf numFmtId="0" fontId="35" fillId="0" borderId="0" xfId="0" applyFont="1" applyAlignment="1">
      <alignment horizontal="center"/>
    </xf>
    <xf numFmtId="0" fontId="3" fillId="0" borderId="25" xfId="0" applyFont="1" applyBorder="1" applyAlignment="1">
      <alignment horizontal="center"/>
    </xf>
    <xf numFmtId="0" fontId="3" fillId="0" borderId="27" xfId="0" applyFont="1" applyBorder="1" applyAlignment="1">
      <alignment horizontal="center"/>
    </xf>
    <xf numFmtId="0" fontId="3" fillId="0" borderId="64" xfId="0" applyFont="1" applyBorder="1" applyAlignment="1">
      <alignment horizontal="center"/>
    </xf>
    <xf numFmtId="3" fontId="3" fillId="32" borderId="25" xfId="0" applyNumberFormat="1" applyFont="1" applyFill="1" applyBorder="1" applyAlignment="1">
      <alignment horizontal="center"/>
    </xf>
    <xf numFmtId="3" fontId="3" fillId="32" borderId="64" xfId="0" applyNumberFormat="1" applyFont="1" applyFill="1" applyBorder="1" applyAlignment="1">
      <alignment horizontal="center"/>
    </xf>
    <xf numFmtId="181" fontId="3" fillId="32" borderId="44" xfId="0" applyNumberFormat="1" applyFont="1" applyFill="1" applyBorder="1" applyAlignment="1">
      <alignment horizontal="right"/>
    </xf>
    <xf numFmtId="181" fontId="3" fillId="32" borderId="43" xfId="0" applyNumberFormat="1" applyFont="1" applyFill="1" applyBorder="1" applyAlignment="1">
      <alignment horizontal="right"/>
    </xf>
    <xf numFmtId="0" fontId="3" fillId="32" borderId="44" xfId="0" applyFont="1" applyFill="1" applyBorder="1" applyAlignment="1">
      <alignment horizontal="right"/>
    </xf>
    <xf numFmtId="0" fontId="3" fillId="32" borderId="43" xfId="0" applyFont="1" applyFill="1" applyBorder="1" applyAlignment="1">
      <alignment horizontal="right"/>
    </xf>
    <xf numFmtId="0" fontId="3" fillId="32" borderId="10" xfId="0" applyFont="1" applyFill="1" applyBorder="1" applyAlignment="1">
      <alignment horizontal="right"/>
    </xf>
    <xf numFmtId="0" fontId="3" fillId="32" borderId="56" xfId="0" applyFont="1" applyFill="1" applyBorder="1" applyAlignment="1">
      <alignment horizontal="right"/>
    </xf>
    <xf numFmtId="10" fontId="3" fillId="0" borderId="123" xfId="79" applyNumberFormat="1" applyFont="1" applyBorder="1" applyAlignment="1">
      <alignment horizontal="center" vertical="center" wrapText="1"/>
    </xf>
    <xf numFmtId="10" fontId="3" fillId="0" borderId="154" xfId="79" applyNumberFormat="1" applyFont="1" applyBorder="1" applyAlignment="1">
      <alignment horizontal="center" vertical="center" wrapText="1"/>
    </xf>
    <xf numFmtId="10" fontId="3" fillId="0" borderId="147" xfId="79" applyNumberFormat="1" applyFont="1" applyBorder="1" applyAlignment="1">
      <alignment horizontal="center" vertical="center" wrapText="1"/>
    </xf>
    <xf numFmtId="10" fontId="3" fillId="0" borderId="111" xfId="79" applyNumberFormat="1" applyFont="1" applyBorder="1" applyAlignment="1">
      <alignment horizontal="center" vertical="center" wrapText="1"/>
    </xf>
    <xf numFmtId="10" fontId="3" fillId="0" borderId="124" xfId="79" applyNumberFormat="1" applyFont="1" applyBorder="1" applyAlignment="1">
      <alignment horizontal="center" vertical="center" wrapText="1"/>
    </xf>
    <xf numFmtId="10" fontId="3" fillId="0" borderId="112" xfId="79" applyNumberFormat="1" applyFont="1" applyBorder="1" applyAlignment="1">
      <alignment horizontal="center" vertical="center" wrapText="1"/>
    </xf>
    <xf numFmtId="0" fontId="3" fillId="32" borderId="57" xfId="0" applyFont="1" applyFill="1" applyBorder="1" applyAlignment="1">
      <alignment horizontal="center"/>
    </xf>
    <xf numFmtId="0" fontId="3" fillId="32" borderId="55" xfId="0" applyFont="1" applyFill="1" applyBorder="1" applyAlignment="1">
      <alignment horizontal="center"/>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02"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40% - Énfšsis3"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2 2" xfId="54"/>
    <cellStyle name="Millares 3" xfId="55"/>
    <cellStyle name="Millares 4" xfId="56"/>
    <cellStyle name="Millares 4 2" xfId="57"/>
    <cellStyle name="Millares 4 2 2" xfId="58"/>
    <cellStyle name="Millares 5" xfId="59"/>
    <cellStyle name="Millares 6" xfId="60"/>
    <cellStyle name="Millares 7" xfId="61"/>
    <cellStyle name="Millares 7 2" xfId="62"/>
    <cellStyle name="Millares 8" xfId="63"/>
    <cellStyle name="Millares 9" xfId="64"/>
    <cellStyle name="Millares_Formato Presupuesto Minagricultura" xfId="65"/>
    <cellStyle name="Millares_Gastos de personal" xfId="66"/>
    <cellStyle name="Millares_INGRESOS 2005" xfId="67"/>
    <cellStyle name="Currency" xfId="68"/>
    <cellStyle name="Currency [0]" xfId="69"/>
    <cellStyle name="Moneda 2" xfId="70"/>
    <cellStyle name="Neutral" xfId="71"/>
    <cellStyle name="Normal 2" xfId="72"/>
    <cellStyle name="Normal_Hoja1" xfId="73"/>
    <cellStyle name="Notas" xfId="74"/>
    <cellStyle name="Percent" xfId="75"/>
    <cellStyle name="Porcentual 2" xfId="76"/>
    <cellStyle name="Porcentual 2 2" xfId="77"/>
    <cellStyle name="Porcentual 3" xfId="78"/>
    <cellStyle name="Porcentual 3 2" xfId="79"/>
    <cellStyle name="Porcentual 4" xfId="80"/>
    <cellStyle name="Porcentual 5" xfId="81"/>
    <cellStyle name="Porcentual 6" xfId="82"/>
    <cellStyle name="Porcentual 6 2" xfId="83"/>
    <cellStyle name="Porcentual 7" xfId="84"/>
    <cellStyle name="Salida" xfId="85"/>
    <cellStyle name="Texto de advertencia" xfId="86"/>
    <cellStyle name="Texto explicativo" xfId="87"/>
    <cellStyle name="Título" xfId="88"/>
    <cellStyle name="Título 2" xfId="89"/>
    <cellStyle name="Título 3" xfId="90"/>
    <cellStyle name="Total" xfId="91"/>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0" Type="http://schemas.openxmlformats.org/officeDocument/2006/relationships/externalLink" Target="externalLinks/externalLink19.xml" /><Relationship Id="rId41" Type="http://schemas.openxmlformats.org/officeDocument/2006/relationships/externalLink" Target="externalLinks/externalLink20.xml" /><Relationship Id="rId42" Type="http://schemas.openxmlformats.org/officeDocument/2006/relationships/externalLink" Target="externalLinks/externalLink21.xml" /><Relationship Id="rId43" Type="http://schemas.openxmlformats.org/officeDocument/2006/relationships/externalLink" Target="externalLinks/externalLink22.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Libro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Temp\Desagregado%20PP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Analista%20PPC\A&#241;o%202009\Presupuesto%202009\Presupuesto%20PPC%20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nalista%20PPC\A&#241;o%202009\Presupuesto%202009\nomina%202009%20ppc.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A&#241;o%202010\PTO%20FONDO%202010\Cierre%20II%20trimestre%202010\Anexo%20I%20-%20Anexo%20II%20MADR%20cierre%20I%20semestre%20201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V:\A&#241;o%202011\Presupuesto%202011%20versi&#243;n%201\PRESUPUESTO%2011%201a%20%20versi&#243;n%20jenny.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A&#241;o%202009\MANEJO%20PPTO%202009\PRESUPUESTO%2009%207a%20%20versi&#243;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A&#241;o%202010\PTO%20FONDO%202010\Presupuesto%202010%20versi&#243;n%203\PRESUPUESTO%2010%203a%20%20versi&#243;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A&#241;o%202010\PTO%20FONDO%202010\Presupuesto%202010%20versi&#243;n%203\desagregado%20ppc%2020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V:\A&#241;o%202010\A&#241;o%202010\MANEJO%20PTO%202010\PRESUPUESTO%20ESTIMADO%20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Temp\Desagregado%20T&#233;cnic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Temp\Desagregado%20Mercadeo.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Temp\Desagregado%20Econ&#243;mic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PatriciaMart&#237;nez\Configuraci&#243;n%20local\Archivos%20temporales%20de%20Internet\Content.Outlook\RD6RDTKZ\A&#241;o%202008\Presupuesto%202009\nomina%202009%20pp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JefeControlRegional\Presupuesto%202008\Presupuesto%2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desagregado%20ppc%20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Temp\presupuesto%20definitivo%2020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V:\A&#241;o%202010\MANEJO%20PTO%202010\Presupuesto%202010%20versi&#243;n%203\desagregado%20ppc%2020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V:\A&#241;o%202010\ACUERDOS%202010\ANEXO%20ACUERDO%205-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COS LABORATORIOS"/>
    </sheetNames>
    <sheetDataSet>
      <sheetData sheetId="0">
        <row r="8">
          <cell r="G8">
            <v>83750</v>
          </cell>
          <cell r="O8">
            <v>23660</v>
          </cell>
        </row>
        <row r="9">
          <cell r="G9">
            <v>0</v>
          </cell>
          <cell r="O9">
            <v>77575</v>
          </cell>
        </row>
        <row r="10">
          <cell r="G10">
            <v>39900</v>
          </cell>
          <cell r="O10">
            <v>35710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justificacion formulada"/>
      <sheetName val="Ciclos"/>
      <sheetName val="INGRESOS 2011"/>
      <sheetName val="anexo viaticos gastos de viaje"/>
      <sheetName val="anexo materiales y dotaciones"/>
      <sheetName val="anexo publicidad"/>
      <sheetName val="anexo impresos y publicaciones"/>
      <sheetName val="Escenario PPC"/>
      <sheetName val="Participación x dosis"/>
      <sheetName val="Auxilios distribuidores"/>
      <sheetName val="NOMINA HONORARIOS 2011"/>
      <sheetName val="REUNIÓN"/>
      <sheetName val="SIMULACROS"/>
      <sheetName val="Hoja1"/>
    </sheetNames>
    <sheetDataSet>
      <sheetData sheetId="0">
        <row r="11">
          <cell r="D11">
            <v>12000000</v>
          </cell>
        </row>
        <row r="12">
          <cell r="D12">
            <v>175176000</v>
          </cell>
        </row>
        <row r="21">
          <cell r="D21">
            <v>12000000</v>
          </cell>
        </row>
        <row r="22">
          <cell r="D22">
            <v>42000000</v>
          </cell>
        </row>
        <row r="25">
          <cell r="D25">
            <v>1560000</v>
          </cell>
        </row>
        <row r="26">
          <cell r="D26">
            <v>4968000</v>
          </cell>
        </row>
        <row r="27">
          <cell r="D27">
            <v>25000000</v>
          </cell>
        </row>
        <row r="28">
          <cell r="D28">
            <v>4800000</v>
          </cell>
        </row>
        <row r="31">
          <cell r="D31">
            <v>1456755237.58464</v>
          </cell>
        </row>
        <row r="35">
          <cell r="D35">
            <v>90875000</v>
          </cell>
        </row>
        <row r="45">
          <cell r="D45">
            <v>717284324.7360001</v>
          </cell>
        </row>
        <row r="50">
          <cell r="D50">
            <v>361725785.68</v>
          </cell>
        </row>
        <row r="66">
          <cell r="D66">
            <v>90000000</v>
          </cell>
        </row>
        <row r="67">
          <cell r="D67">
            <v>25000000</v>
          </cell>
        </row>
        <row r="68">
          <cell r="D68">
            <v>20000000</v>
          </cell>
        </row>
        <row r="69">
          <cell r="D69">
            <v>5000000</v>
          </cell>
        </row>
        <row r="70">
          <cell r="D70">
            <v>290700000</v>
          </cell>
        </row>
        <row r="77">
          <cell r="D77">
            <v>1124275295.8416</v>
          </cell>
        </row>
        <row r="81">
          <cell r="D81">
            <v>12000000</v>
          </cell>
        </row>
        <row r="82">
          <cell r="D82">
            <v>104425302.49199998</v>
          </cell>
        </row>
        <row r="85">
          <cell r="D85">
            <v>36000000</v>
          </cell>
        </row>
        <row r="86">
          <cell r="D86">
            <v>7800000</v>
          </cell>
        </row>
      </sheetData>
      <sheetData sheetId="2">
        <row r="43">
          <cell r="C43">
            <v>3433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Superávit 2007"/>
      <sheetName val="Ejecución gastos 2007"/>
      <sheetName val="Anexo 2 "/>
      <sheetName val="Anexo 3"/>
      <sheetName val="Anexo 4"/>
      <sheetName val="RECAUDO"/>
      <sheetName val="Funcionamiento"/>
      <sheetName val="Nómina y honorarios 2008"/>
      <sheetName val="Comparativo Nomina"/>
      <sheetName val="Nómina 2007-2008"/>
      <sheetName val="Perfiles"/>
      <sheetName val="Inversión total en programas"/>
      <sheetName val="MODELO CONTRATISTAS"/>
      <sheetName val="Servicios personal 2005"/>
      <sheetName val="Nómina 2004"/>
    </sheetNames>
    <sheetDataSet>
      <sheetData sheetId="16">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19">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nexo 1 Minagricultura"/>
      <sheetName val="Anexo 2 x Areas"/>
      <sheetName val="ejecutado"/>
    </sheetNames>
    <sheetDataSet>
      <sheetData sheetId="2">
        <row r="167">
          <cell r="J167">
            <v>327621306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rendimientos"/>
      <sheetName val="Escenario PPC "/>
      <sheetName val="Ejecución ingresos 2010"/>
      <sheetName val="Ejecución gastos 2010"/>
      <sheetName val="Superavit 2010"/>
      <sheetName val="Anexo 2 "/>
      <sheetName val="Anexo 3 "/>
      <sheetName val="Anexo 4"/>
      <sheetName val="Funcionamiento"/>
      <sheetName val="Nómina y honorarios 2011"/>
      <sheetName val="Comparativo nómina 2010-2011"/>
      <sheetName val="Inversión total en programas"/>
      <sheetName val="MODELO CONTRATISTAS"/>
      <sheetName val="Servicios personal 2005"/>
      <sheetName val="Nómina 2004"/>
    </sheetNames>
    <sheetDataSet>
      <sheetData sheetId="7">
        <row r="164">
          <cell r="O164">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
      <sheetName val="Superávit 2008"/>
      <sheetName val="Ejecucion gastos 2008"/>
      <sheetName val="Anexo 2 "/>
      <sheetName val="Anexo 3"/>
      <sheetName val="Anexo 4"/>
      <sheetName val="RECAUDO"/>
      <sheetName val="Funcionamiento"/>
      <sheetName val="Distrib. gasto"/>
      <sheetName val="Nómina y honorarios 2009"/>
      <sheetName val="Comparativo nómina 2008-2009"/>
      <sheetName val="Inversión total en programas"/>
      <sheetName val="MODELO CONTRATISTAS"/>
      <sheetName val="Servicios personal 2005"/>
      <sheetName val="Nómina 2004"/>
    </sheetNames>
    <sheetDataSet>
      <sheetData sheetId="0">
        <row r="15">
          <cell r="D15">
            <v>1879936344.6475291</v>
          </cell>
        </row>
        <row r="21">
          <cell r="B21">
            <v>3824510363.17</v>
          </cell>
          <cell r="C21">
            <v>3827160976.17</v>
          </cell>
        </row>
        <row r="32">
          <cell r="D32">
            <v>3946232500</v>
          </cell>
        </row>
        <row r="46">
          <cell r="C46">
            <v>2269769.205732</v>
          </cell>
        </row>
        <row r="53">
          <cell r="C53">
            <v>2484.75</v>
          </cell>
        </row>
        <row r="54">
          <cell r="C54">
            <v>828.25</v>
          </cell>
        </row>
      </sheetData>
      <sheetData sheetId="15">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 sheetId="18">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4">
        <row r="86">
          <cell r="B86">
            <v>117000000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S"/>
      <sheetName val="ECO"/>
      <sheetName val="TEC"/>
      <sheetName val="PPC"/>
      <sheetName val="MER"/>
      <sheetName val="FUN"/>
    </sheetNames>
    <sheetDataSet>
      <sheetData sheetId="1">
        <row r="20">
          <cell r="F20">
            <v>600000</v>
          </cell>
        </row>
        <row r="21">
          <cell r="F21">
            <v>29463000</v>
          </cell>
        </row>
        <row r="33">
          <cell r="F33">
            <v>116707552.0332</v>
          </cell>
        </row>
      </sheetData>
      <sheetData sheetId="2">
        <row r="20">
          <cell r="F20">
            <v>300000</v>
          </cell>
        </row>
        <row r="32">
          <cell r="F32">
            <v>36261350.488800004</v>
          </cell>
        </row>
      </sheetData>
      <sheetData sheetId="3">
        <row r="20">
          <cell r="F20">
            <v>900000</v>
          </cell>
        </row>
        <row r="21">
          <cell r="F21">
            <v>21234144</v>
          </cell>
        </row>
        <row r="37">
          <cell r="F37">
            <v>281922201.5068</v>
          </cell>
        </row>
      </sheetData>
      <sheetData sheetId="4">
        <row r="20">
          <cell r="F20">
            <v>300000</v>
          </cell>
        </row>
        <row r="30">
          <cell r="F30">
            <v>39892342.0556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RESUPUESTO TECNICA 2011-Final"/>
      <sheetName val="Desglosado CARs"/>
    </sheetNames>
    <sheetDataSet>
      <sheetData sheetId="0">
        <row r="9">
          <cell r="E9">
            <v>57792321</v>
          </cell>
        </row>
        <row r="12">
          <cell r="E12">
            <v>10000000</v>
          </cell>
        </row>
        <row r="14">
          <cell r="E14">
            <v>0</v>
          </cell>
        </row>
        <row r="16">
          <cell r="E16">
            <v>50000000</v>
          </cell>
        </row>
        <row r="18">
          <cell r="E18">
            <v>12000000</v>
          </cell>
        </row>
        <row r="22">
          <cell r="E22">
            <v>180000000</v>
          </cell>
        </row>
        <row r="24">
          <cell r="F24">
            <v>216000000</v>
          </cell>
        </row>
        <row r="27">
          <cell r="E27">
            <v>24000000</v>
          </cell>
        </row>
        <row r="29">
          <cell r="E29">
            <v>155674300</v>
          </cell>
        </row>
        <row r="30">
          <cell r="F30">
            <v>140277000</v>
          </cell>
        </row>
        <row r="36">
          <cell r="F36">
            <v>64753740</v>
          </cell>
        </row>
        <row r="37">
          <cell r="E37">
            <v>23000000</v>
          </cell>
        </row>
        <row r="40">
          <cell r="E40">
            <v>126035116</v>
          </cell>
        </row>
        <row r="46">
          <cell r="E46">
            <v>22080000</v>
          </cell>
        </row>
        <row r="47">
          <cell r="E47">
            <v>6000000</v>
          </cell>
        </row>
        <row r="48">
          <cell r="F48">
            <v>59640000</v>
          </cell>
        </row>
        <row r="49">
          <cell r="E49">
            <v>42900000</v>
          </cell>
        </row>
        <row r="55">
          <cell r="E55">
            <v>42300000</v>
          </cell>
        </row>
        <row r="59">
          <cell r="E59">
            <v>23180000</v>
          </cell>
        </row>
        <row r="62">
          <cell r="F62">
            <v>100000000</v>
          </cell>
        </row>
        <row r="63">
          <cell r="E63">
            <v>161320000</v>
          </cell>
        </row>
        <row r="73">
          <cell r="E73">
            <v>174500000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Version Final"/>
    </sheetNames>
    <sheetDataSet>
      <sheetData sheetId="0">
        <row r="6">
          <cell r="G6">
            <v>34507018.800000004</v>
          </cell>
        </row>
        <row r="7">
          <cell r="G7">
            <v>56758149.58799999</v>
          </cell>
        </row>
        <row r="9">
          <cell r="G9">
            <v>10753200</v>
          </cell>
        </row>
        <row r="13">
          <cell r="G13">
            <v>65836620</v>
          </cell>
        </row>
        <row r="14">
          <cell r="G14">
            <v>10000000</v>
          </cell>
        </row>
        <row r="15">
          <cell r="G15">
            <v>10500000</v>
          </cell>
        </row>
        <row r="16">
          <cell r="G16">
            <v>15000000</v>
          </cell>
        </row>
        <row r="17">
          <cell r="G17">
            <v>172073793</v>
          </cell>
        </row>
        <row r="23">
          <cell r="G23">
            <v>162766578</v>
          </cell>
        </row>
        <row r="26">
          <cell r="G26">
            <v>111062789.85</v>
          </cell>
        </row>
        <row r="29">
          <cell r="G29">
            <v>92481000</v>
          </cell>
        </row>
        <row r="37">
          <cell r="G37">
            <v>31000000</v>
          </cell>
        </row>
        <row r="38">
          <cell r="G38">
            <v>5250000</v>
          </cell>
        </row>
        <row r="42">
          <cell r="G42">
            <v>20000000</v>
          </cell>
        </row>
        <row r="46">
          <cell r="G46">
            <v>100000000</v>
          </cell>
        </row>
        <row r="48">
          <cell r="G48">
            <v>900000000</v>
          </cell>
        </row>
        <row r="51">
          <cell r="G51">
            <v>0</v>
          </cell>
        </row>
        <row r="52">
          <cell r="G52">
            <v>15000000</v>
          </cell>
        </row>
        <row r="55">
          <cell r="G55">
            <v>43400000</v>
          </cell>
        </row>
        <row r="61">
          <cell r="G61">
            <v>5000000</v>
          </cell>
        </row>
        <row r="65">
          <cell r="G65">
            <v>15000000</v>
          </cell>
        </row>
        <row r="69">
          <cell r="G69">
            <v>41649200</v>
          </cell>
        </row>
        <row r="73">
          <cell r="G73">
            <v>0</v>
          </cell>
        </row>
        <row r="75">
          <cell r="G75">
            <v>50000000</v>
          </cell>
        </row>
        <row r="77">
          <cell r="G77">
            <v>73739131.3584</v>
          </cell>
        </row>
        <row r="80">
          <cell r="G80">
            <v>12400000</v>
          </cell>
        </row>
        <row r="84">
          <cell r="G84">
            <v>270000000</v>
          </cell>
        </row>
        <row r="88">
          <cell r="G88">
            <v>95728000</v>
          </cell>
        </row>
        <row r="98">
          <cell r="G98">
            <v>15000000</v>
          </cell>
        </row>
        <row r="99">
          <cell r="G99">
            <v>10000000</v>
          </cell>
        </row>
        <row r="101">
          <cell r="G101">
            <v>1500000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gregado"/>
      <sheetName val="Inversión Económica 2011"/>
      <sheetName val="Gastos Generales"/>
      <sheetName val="Otros"/>
      <sheetName val="Regionalizado"/>
    </sheetNames>
    <sheetDataSet>
      <sheetData sheetId="0">
        <row r="17">
          <cell r="B17">
            <v>659415239.0685585</v>
          </cell>
        </row>
        <row r="18">
          <cell r="B18">
            <v>340370162.16088957</v>
          </cell>
        </row>
        <row r="20">
          <cell r="B20">
            <v>443974538.2611201</v>
          </cell>
        </row>
        <row r="21">
          <cell r="B21">
            <v>110993634.56528002</v>
          </cell>
        </row>
        <row r="22">
          <cell r="B22">
            <v>20314190</v>
          </cell>
        </row>
        <row r="23">
          <cell r="B23">
            <v>121690566.845</v>
          </cell>
        </row>
        <row r="24">
          <cell r="B24">
            <v>41500000</v>
          </cell>
        </row>
        <row r="26">
          <cell r="B26">
            <v>35349600</v>
          </cell>
        </row>
        <row r="27">
          <cell r="B27">
            <v>15000000</v>
          </cell>
        </row>
        <row r="28">
          <cell r="B28">
            <v>56286167.400000006</v>
          </cell>
        </row>
        <row r="29">
          <cell r="B29">
            <v>0</v>
          </cell>
        </row>
        <row r="32">
          <cell r="B32">
            <v>88637350.00000001</v>
          </cell>
        </row>
        <row r="33">
          <cell r="B33">
            <v>34693269.13</v>
          </cell>
        </row>
        <row r="34">
          <cell r="B34">
            <v>61625000</v>
          </cell>
        </row>
        <row r="36">
          <cell r="B36">
            <v>107922642.80000001</v>
          </cell>
        </row>
        <row r="37">
          <cell r="B37">
            <v>10507000</v>
          </cell>
        </row>
        <row r="38">
          <cell r="B38">
            <v>28639400</v>
          </cell>
        </row>
        <row r="39">
          <cell r="B39">
            <v>83200000</v>
          </cell>
        </row>
      </sheetData>
      <sheetData sheetId="3">
        <row r="21">
          <cell r="D21">
            <v>1003896071</v>
          </cell>
        </row>
        <row r="23">
          <cell r="B23">
            <v>195454046.51382482</v>
          </cell>
        </row>
        <row r="25">
          <cell r="B25">
            <v>486470541.88352007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esupuesto general"/>
      <sheetName val="2004VS2005"/>
      <sheetName val="Anexo 1 Minagricultura"/>
      <sheetName val="Anexo 2"/>
      <sheetName val="Inversión total en programas"/>
      <sheetName val="MODELO CONTRATISTAS"/>
      <sheetName val="Servicios personal 2005"/>
      <sheetName val="Nómina 2004"/>
    </sheetNames>
    <sheetDataSet>
      <sheetData sheetId="2">
        <row r="13">
          <cell r="G13">
            <v>495154383.24615085</v>
          </cell>
        </row>
      </sheetData>
      <sheetData sheetId="4">
        <row r="35">
          <cell r="C35" t="e">
            <v>#REF!</v>
          </cell>
        </row>
        <row r="86">
          <cell r="B86">
            <v>117000000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 TRIM."/>
      <sheetName val="Inversión total en programas"/>
      <sheetName val="MODELO CONTRATISTAS"/>
      <sheetName val="Servicios personal 2005"/>
      <sheetName val="Nómina 2004"/>
    </sheetNames>
    <sheetDataSet>
      <sheetData sheetId="7">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10">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10.0.0.200\..\LucioGarciaBarrera.ANALISTAPPC1\Configuraci&#243;n%20local\Archivos%20temporales%20de%20Internet\OLK6A\Justificacion%20pto%202009%20final.xls#'justificacion%20formulada'!A30"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L549"/>
  <sheetViews>
    <sheetView tabSelected="1" view="pageBreakPreview" zoomScaleNormal="75" zoomScaleSheetLayoutView="10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30" sqref="A30"/>
    </sheetView>
  </sheetViews>
  <sheetFormatPr defaultColWidth="11.421875" defaultRowHeight="12.75" outlineLevelRow="1"/>
  <cols>
    <col min="1" max="1" width="51.28125" style="182" customWidth="1"/>
    <col min="2" max="2" width="21.00390625" style="183" customWidth="1"/>
    <col min="3" max="3" width="25.140625" style="183" customWidth="1"/>
    <col min="4" max="4" width="22.28125" style="182" customWidth="1"/>
    <col min="5" max="5" width="17.140625" style="182" customWidth="1"/>
    <col min="6" max="6" width="18.421875" style="182" bestFit="1" customWidth="1"/>
    <col min="7" max="7" width="18.00390625" style="182" bestFit="1" customWidth="1"/>
    <col min="8" max="8" width="12.57421875" style="182" bestFit="1" customWidth="1"/>
    <col min="9" max="9" width="16.140625" style="182" bestFit="1" customWidth="1"/>
    <col min="10" max="10" width="12.00390625" style="182" bestFit="1" customWidth="1"/>
    <col min="11" max="11" width="11.8515625" style="182" bestFit="1" customWidth="1"/>
    <col min="12" max="12" width="12.00390625" style="182" bestFit="1" customWidth="1"/>
    <col min="13" max="16384" width="11.421875" style="182" customWidth="1"/>
  </cols>
  <sheetData>
    <row r="1" spans="1:4" ht="15">
      <c r="A1" s="433"/>
      <c r="B1" s="434"/>
      <c r="C1" s="434"/>
      <c r="D1" s="433"/>
    </row>
    <row r="2" spans="1:5" ht="15">
      <c r="A2" s="1298" t="s">
        <v>66</v>
      </c>
      <c r="B2" s="1298"/>
      <c r="C2" s="1298"/>
      <c r="D2" s="1298"/>
      <c r="E2" s="1298"/>
    </row>
    <row r="3" spans="1:5" ht="15">
      <c r="A3" s="1298" t="s">
        <v>62</v>
      </c>
      <c r="B3" s="1298"/>
      <c r="C3" s="1298"/>
      <c r="D3" s="1298"/>
      <c r="E3" s="1298"/>
    </row>
    <row r="4" spans="1:7" ht="15">
      <c r="A4" s="1298" t="s">
        <v>656</v>
      </c>
      <c r="B4" s="1298"/>
      <c r="C4" s="1298"/>
      <c r="D4" s="1298"/>
      <c r="E4" s="1298"/>
      <c r="F4" s="1024"/>
      <c r="G4" s="569"/>
    </row>
    <row r="5" spans="1:6" ht="15">
      <c r="A5" s="435"/>
      <c r="B5" s="436"/>
      <c r="C5" s="436"/>
      <c r="D5" s="437"/>
      <c r="E5" s="1024"/>
      <c r="F5" s="1024"/>
    </row>
    <row r="6" spans="1:6" ht="15">
      <c r="A6" s="1299" t="s">
        <v>22</v>
      </c>
      <c r="B6" s="1299"/>
      <c r="C6" s="1299"/>
      <c r="D6" s="1299"/>
      <c r="E6" s="1299"/>
      <c r="F6" s="1024"/>
    </row>
    <row r="7" spans="1:6" ht="15.75" thickBot="1">
      <c r="A7" s="430"/>
      <c r="B7" s="430"/>
      <c r="C7" s="430"/>
      <c r="D7" s="430"/>
      <c r="E7" s="1024"/>
      <c r="F7" s="1024"/>
    </row>
    <row r="8" spans="1:6" ht="15">
      <c r="A8" s="1302" t="s">
        <v>40</v>
      </c>
      <c r="B8" s="1025" t="s">
        <v>258</v>
      </c>
      <c r="C8" s="1026" t="s">
        <v>258</v>
      </c>
      <c r="D8" s="1027" t="s">
        <v>258</v>
      </c>
      <c r="E8" s="1028"/>
      <c r="F8" s="1024"/>
    </row>
    <row r="9" spans="1:6" ht="16.5">
      <c r="A9" s="1303"/>
      <c r="B9" s="1029" t="s">
        <v>265</v>
      </c>
      <c r="C9" s="1030" t="s">
        <v>330</v>
      </c>
      <c r="D9" s="1031"/>
      <c r="E9" s="1032" t="s">
        <v>522</v>
      </c>
      <c r="F9" s="1033"/>
    </row>
    <row r="10" spans="1:6" ht="15.75" thickBot="1">
      <c r="A10" s="1304"/>
      <c r="B10" s="1034" t="s">
        <v>553</v>
      </c>
      <c r="C10" s="1035" t="s">
        <v>553</v>
      </c>
      <c r="D10" s="1036" t="s">
        <v>657</v>
      </c>
      <c r="E10" s="1037"/>
      <c r="F10" s="1038"/>
    </row>
    <row r="11" spans="1:6" ht="15">
      <c r="A11" s="1039" t="s">
        <v>266</v>
      </c>
      <c r="B11" s="1040">
        <f>+B13+B17+SUPERA2004</f>
        <v>9804351505.062569</v>
      </c>
      <c r="C11" s="1041">
        <f>+C13+C17+SUPERA2005</f>
        <v>10522201344.30872</v>
      </c>
      <c r="D11" s="1041">
        <f>+D13+D17+D21</f>
        <v>10643956590.975723</v>
      </c>
      <c r="E11" s="590">
        <f>(D11-C11)/C11</f>
        <v>0.011571271322693229</v>
      </c>
      <c r="F11" s="1024"/>
    </row>
    <row r="12" spans="1:6" ht="13.5" customHeight="1">
      <c r="A12" s="1042"/>
      <c r="B12" s="1043"/>
      <c r="C12" s="1044"/>
      <c r="D12" s="1044"/>
      <c r="E12" s="590"/>
      <c r="F12" s="1024"/>
    </row>
    <row r="13" spans="1:10" ht="15">
      <c r="A13" s="1045" t="s">
        <v>420</v>
      </c>
      <c r="B13" s="1046">
        <f>+B14+B15</f>
        <v>7908932606.753849</v>
      </c>
      <c r="C13" s="1047">
        <f>+C14+C15</f>
        <v>8404086990</v>
      </c>
      <c r="D13" s="1047">
        <f>+D14+D15</f>
        <v>9160819531.50546</v>
      </c>
      <c r="E13" s="590">
        <f aca="true" t="shared" si="0" ref="E13:E37">(D13-C13)/C13</f>
        <v>0.09004339702883785</v>
      </c>
      <c r="F13" s="1048"/>
      <c r="J13" s="379"/>
    </row>
    <row r="14" spans="1:12" ht="15">
      <c r="A14" s="1042" t="s">
        <v>267</v>
      </c>
      <c r="B14" s="1043">
        <v>5931699455.065387</v>
      </c>
      <c r="C14" s="1044">
        <v>6303065242.5</v>
      </c>
      <c r="D14" s="1044">
        <f>+CABEZAS_PROYEC*FOMENTO</f>
        <v>6870614648.629096</v>
      </c>
      <c r="E14" s="591">
        <f>(D14-C14)/C14</f>
        <v>0.09004339702883792</v>
      </c>
      <c r="F14" s="1038"/>
      <c r="I14" s="438"/>
      <c r="L14" s="379"/>
    </row>
    <row r="15" spans="1:12" ht="15">
      <c r="A15" s="1042" t="s">
        <v>268</v>
      </c>
      <c r="B15" s="1043">
        <v>1977233151.6884623</v>
      </c>
      <c r="C15" s="1044">
        <v>2101021747.5</v>
      </c>
      <c r="D15" s="1044">
        <f>+CABEZAS_PROYEC*EPPC</f>
        <v>2290204882.876365</v>
      </c>
      <c r="E15" s="591">
        <f t="shared" si="0"/>
        <v>0.09004339702883785</v>
      </c>
      <c r="F15" s="1049"/>
      <c r="I15" s="379"/>
      <c r="L15" s="379"/>
    </row>
    <row r="16" spans="1:12" ht="15">
      <c r="A16" s="1042"/>
      <c r="B16" s="1043"/>
      <c r="C16" s="1044"/>
      <c r="D16" s="1044"/>
      <c r="E16" s="591"/>
      <c r="F16" s="1050"/>
      <c r="I16" s="427"/>
      <c r="L16" s="379"/>
    </row>
    <row r="17" spans="1:9" ht="15">
      <c r="A17" s="1051" t="s">
        <v>158</v>
      </c>
      <c r="B17" s="1052">
        <f>+B18+B19</f>
        <v>110000000</v>
      </c>
      <c r="C17" s="1053">
        <f>+C18+C19</f>
        <v>110000000</v>
      </c>
      <c r="D17" s="1053">
        <f>+D18+D19</f>
        <v>110000000</v>
      </c>
      <c r="E17" s="590">
        <f t="shared" si="0"/>
        <v>0</v>
      </c>
      <c r="F17" s="1050"/>
      <c r="I17" s="379"/>
    </row>
    <row r="18" spans="1:9" ht="15">
      <c r="A18" s="1042" t="s">
        <v>267</v>
      </c>
      <c r="B18" s="1043">
        <v>82500000</v>
      </c>
      <c r="C18" s="1044">
        <v>82500000</v>
      </c>
      <c r="D18" s="1044">
        <v>82500000</v>
      </c>
      <c r="E18" s="591">
        <f t="shared" si="0"/>
        <v>0</v>
      </c>
      <c r="F18" s="1038"/>
      <c r="I18" s="379"/>
    </row>
    <row r="19" spans="1:9" ht="15">
      <c r="A19" s="1042" t="s">
        <v>268</v>
      </c>
      <c r="B19" s="1043">
        <v>27500000</v>
      </c>
      <c r="C19" s="1044">
        <v>27500000</v>
      </c>
      <c r="D19" s="1044">
        <v>27500000</v>
      </c>
      <c r="E19" s="591">
        <f t="shared" si="0"/>
        <v>0</v>
      </c>
      <c r="F19" s="1050"/>
      <c r="I19" s="379"/>
    </row>
    <row r="20" spans="1:10" ht="15">
      <c r="A20" s="1042"/>
      <c r="B20" s="1043"/>
      <c r="C20" s="1044"/>
      <c r="D20" s="1044"/>
      <c r="E20" s="591"/>
      <c r="F20" s="1024"/>
      <c r="I20" s="383"/>
      <c r="J20" s="379"/>
    </row>
    <row r="21" spans="1:9" ht="15">
      <c r="A21" s="1051" t="s">
        <v>19</v>
      </c>
      <c r="B21" s="1052">
        <f>+B22+B23</f>
        <v>1785418898.3087187</v>
      </c>
      <c r="C21" s="1053">
        <f>+C22+C23</f>
        <v>2008114354.3087187</v>
      </c>
      <c r="D21" s="1053">
        <f>+D22+D23</f>
        <v>1373137059.4702625</v>
      </c>
      <c r="E21" s="590">
        <f t="shared" si="0"/>
        <v>-0.31620574469577123</v>
      </c>
      <c r="F21" s="1024"/>
      <c r="I21" s="376"/>
    </row>
    <row r="22" spans="1:9" ht="15">
      <c r="A22" s="1042" t="s">
        <v>267</v>
      </c>
      <c r="B22" s="1054">
        <v>1584365993.4872904</v>
      </c>
      <c r="C22" s="1055">
        <v>1669368297.4872904</v>
      </c>
      <c r="D22" s="1055">
        <f>+'Superavit 2010'!I14:I14</f>
        <v>748461636.9233685</v>
      </c>
      <c r="E22" s="591">
        <f t="shared" si="0"/>
        <v>-0.551649783903323</v>
      </c>
      <c r="F22" s="1024"/>
      <c r="I22" s="425"/>
    </row>
    <row r="23" spans="1:9" ht="15">
      <c r="A23" s="1042" t="s">
        <v>268</v>
      </c>
      <c r="B23" s="1043">
        <v>201052904.8214283</v>
      </c>
      <c r="C23" s="1044">
        <v>338746056.8214283</v>
      </c>
      <c r="D23" s="1044">
        <f>+'Superavit 2010'!I19</f>
        <v>624675422.5468941</v>
      </c>
      <c r="E23" s="591">
        <f t="shared" si="0"/>
        <v>0.8440817537728413</v>
      </c>
      <c r="F23" s="1038"/>
      <c r="I23" s="384"/>
    </row>
    <row r="24" spans="1:9" ht="15">
      <c r="A24" s="1042"/>
      <c r="B24" s="1043"/>
      <c r="C24" s="1044"/>
      <c r="D24" s="1044"/>
      <c r="E24" s="591"/>
      <c r="F24" s="1024"/>
      <c r="I24" s="384"/>
    </row>
    <row r="25" spans="1:9" ht="15">
      <c r="A25" s="1051" t="s">
        <v>270</v>
      </c>
      <c r="B25" s="1052">
        <f>+B27+B31</f>
        <v>6547615040.510017</v>
      </c>
      <c r="C25" s="1053">
        <f>+C27+C31</f>
        <v>5887413231.510017</v>
      </c>
      <c r="D25" s="1053">
        <f>+D27+D31</f>
        <v>6285411994.172345</v>
      </c>
      <c r="E25" s="590">
        <f t="shared" si="0"/>
        <v>0.06760163538924006</v>
      </c>
      <c r="F25" s="1024"/>
      <c r="I25" s="376"/>
    </row>
    <row r="26" spans="1:9" ht="15">
      <c r="A26" s="1042"/>
      <c r="B26" s="1043"/>
      <c r="C26" s="1044"/>
      <c r="D26" s="1044"/>
      <c r="E26" s="590"/>
      <c r="F26" s="1024"/>
      <c r="I26" s="379"/>
    </row>
    <row r="27" spans="1:6" ht="15">
      <c r="A27" s="1051" t="s">
        <v>271</v>
      </c>
      <c r="B27" s="1052">
        <f>+B28+B29</f>
        <v>65823042.857142866</v>
      </c>
      <c r="C27" s="1053">
        <f>+C28+C29</f>
        <v>65823042.857142866</v>
      </c>
      <c r="D27" s="1053">
        <f>+D28+D29</f>
        <v>26209247.325000003</v>
      </c>
      <c r="E27" s="590">
        <f t="shared" si="0"/>
        <v>-0.6018226112414389</v>
      </c>
      <c r="F27" s="1050"/>
    </row>
    <row r="28" spans="1:9" ht="15">
      <c r="A28" s="1042" t="s">
        <v>178</v>
      </c>
      <c r="B28" s="1043">
        <v>65823042.857142866</v>
      </c>
      <c r="C28" s="1044">
        <v>65823042.857142866</v>
      </c>
      <c r="D28" s="1044">
        <f>+C64</f>
        <v>24939779.130000003</v>
      </c>
      <c r="E28" s="591">
        <f t="shared" si="0"/>
        <v>-0.6211086870577022</v>
      </c>
      <c r="F28" s="1050"/>
      <c r="I28" s="379"/>
    </row>
    <row r="29" spans="1:9" ht="15">
      <c r="A29" s="1042" t="s">
        <v>179</v>
      </c>
      <c r="B29" s="1043">
        <v>0</v>
      </c>
      <c r="C29" s="1044">
        <v>0</v>
      </c>
      <c r="D29" s="1044">
        <f>+C65</f>
        <v>1269468.1950000003</v>
      </c>
      <c r="E29" s="591">
        <v>0</v>
      </c>
      <c r="F29" s="1024"/>
      <c r="I29" s="379"/>
    </row>
    <row r="30" spans="1:6" ht="15">
      <c r="A30" s="1042"/>
      <c r="B30" s="1043"/>
      <c r="C30" s="1044"/>
      <c r="D30" s="1044"/>
      <c r="E30" s="591"/>
      <c r="F30" s="1024"/>
    </row>
    <row r="31" spans="1:6" ht="15">
      <c r="A31" s="1051" t="s">
        <v>272</v>
      </c>
      <c r="B31" s="1052">
        <f>SUM(B32:B37)</f>
        <v>6481791997.652875</v>
      </c>
      <c r="C31" s="1053">
        <f>SUM(C32:C37)</f>
        <v>5821590188.652875</v>
      </c>
      <c r="D31" s="1053">
        <f>SUM(D32:D37)</f>
        <v>6259202746.847345</v>
      </c>
      <c r="E31" s="590">
        <f t="shared" si="0"/>
        <v>0.0751706224611002</v>
      </c>
      <c r="F31" s="1024"/>
    </row>
    <row r="32" spans="1:6" ht="15">
      <c r="A32" s="1042" t="s">
        <v>273</v>
      </c>
      <c r="B32" s="1043">
        <v>4134851486.4000006</v>
      </c>
      <c r="C32" s="1044">
        <v>4134851486.4000006</v>
      </c>
      <c r="D32" s="1044">
        <f>+C62</f>
        <v>3672838470.8</v>
      </c>
      <c r="E32" s="591">
        <f t="shared" si="0"/>
        <v>-0.11173630228790901</v>
      </c>
      <c r="F32" s="1024"/>
    </row>
    <row r="33" spans="1:6" ht="15">
      <c r="A33" s="1056" t="s">
        <v>181</v>
      </c>
      <c r="B33" s="1057">
        <v>33559548</v>
      </c>
      <c r="C33" s="1058">
        <v>33559548</v>
      </c>
      <c r="D33" s="1058">
        <f>+C68</f>
        <v>51335297.31</v>
      </c>
      <c r="E33" s="591">
        <f t="shared" si="0"/>
        <v>0.5296778523357943</v>
      </c>
      <c r="F33" s="1024"/>
    </row>
    <row r="34" spans="1:6" ht="15">
      <c r="A34" s="1056" t="s">
        <v>182</v>
      </c>
      <c r="B34" s="1057">
        <v>9348838.285714285</v>
      </c>
      <c r="C34" s="1058">
        <v>9348838.285714285</v>
      </c>
      <c r="D34" s="1058">
        <f>+C69</f>
        <v>6455579.340000001</v>
      </c>
      <c r="E34" s="591">
        <f t="shared" si="0"/>
        <v>-0.30947791129678626</v>
      </c>
      <c r="F34" s="1024"/>
    </row>
    <row r="35" spans="1:6" ht="15">
      <c r="A35" s="1056" t="s">
        <v>180</v>
      </c>
      <c r="B35" s="1057">
        <v>124905842.28571428</v>
      </c>
      <c r="C35" s="1058">
        <v>124905842.28571428</v>
      </c>
      <c r="D35" s="1058">
        <f>+'Otros ingresos'!C11</f>
        <v>57082000</v>
      </c>
      <c r="E35" s="591">
        <f t="shared" si="0"/>
        <v>-0.5429997592151975</v>
      </c>
      <c r="F35" s="1024"/>
    </row>
    <row r="36" spans="1:6" ht="15">
      <c r="A36" s="1056" t="s">
        <v>383</v>
      </c>
      <c r="B36" s="1057">
        <v>1821222682.6814463</v>
      </c>
      <c r="C36" s="1058">
        <v>1161020873.6814463</v>
      </c>
      <c r="D36" s="1058">
        <f>+'Otros ingresos'!C26</f>
        <v>2471491399.397345</v>
      </c>
      <c r="E36" s="591">
        <f t="shared" si="0"/>
        <v>1.1287226228418847</v>
      </c>
      <c r="F36" s="1050"/>
    </row>
    <row r="37" spans="1:6" ht="15">
      <c r="A37" s="1056" t="s">
        <v>422</v>
      </c>
      <c r="B37" s="1057">
        <v>357903600</v>
      </c>
      <c r="C37" s="1058">
        <v>357903600</v>
      </c>
      <c r="D37" s="1058">
        <f>+'Otros ingresos'!C33</f>
        <v>0</v>
      </c>
      <c r="E37" s="591">
        <f t="shared" si="0"/>
        <v>-1</v>
      </c>
      <c r="F37" s="1024"/>
    </row>
    <row r="38" spans="1:6" ht="15.75" thickBot="1">
      <c r="A38" s="1056"/>
      <c r="B38" s="1057"/>
      <c r="C38" s="1058"/>
      <c r="D38" s="1058"/>
      <c r="E38" s="591"/>
      <c r="F38" s="1024"/>
    </row>
    <row r="39" spans="1:6" ht="17.25" thickBot="1">
      <c r="A39" s="1059" t="s">
        <v>274</v>
      </c>
      <c r="B39" s="1060">
        <f>+B25+B11</f>
        <v>16351966545.572586</v>
      </c>
      <c r="C39" s="1061">
        <f>+C25+C11</f>
        <v>16409614575.818737</v>
      </c>
      <c r="D39" s="1061">
        <f>+D25+D11</f>
        <v>16929368585.148067</v>
      </c>
      <c r="E39" s="1062">
        <f>(D39-C39)/C39</f>
        <v>0.031673748760390856</v>
      </c>
      <c r="F39" s="1063"/>
    </row>
    <row r="40" spans="1:6" ht="15.75" hidden="1" outlineLevel="1">
      <c r="A40" s="389"/>
      <c r="B40" s="390"/>
      <c r="C40" s="390"/>
      <c r="D40" s="391"/>
      <c r="E40" s="1024"/>
      <c r="F40" s="1024"/>
    </row>
    <row r="41" spans="1:6" ht="16.5" hidden="1" outlineLevel="1">
      <c r="A41" s="1064" t="s">
        <v>658</v>
      </c>
      <c r="B41" s="390"/>
      <c r="C41" s="390"/>
      <c r="D41" s="392"/>
      <c r="E41" s="1300" t="s">
        <v>675</v>
      </c>
      <c r="F41" s="1301"/>
    </row>
    <row r="42" spans="1:7" ht="16.5" hidden="1" outlineLevel="1">
      <c r="A42" s="1064"/>
      <c r="B42" s="390"/>
      <c r="C42" s="390"/>
      <c r="D42" s="392"/>
      <c r="E42" s="1065" t="s">
        <v>532</v>
      </c>
      <c r="F42" s="1066">
        <f>+D14+D18+D22+D28+D33+D35+D36</f>
        <v>10306424761.38981</v>
      </c>
      <c r="G42" s="597"/>
    </row>
    <row r="43" spans="1:7" ht="16.5" hidden="1" outlineLevel="1">
      <c r="A43" s="389"/>
      <c r="B43" s="390"/>
      <c r="C43" s="390"/>
      <c r="D43" s="392"/>
      <c r="E43" s="1065" t="s">
        <v>533</v>
      </c>
      <c r="F43" s="1066">
        <f>+CUOTAPPC2005+D19+D23+D29+VTAS2005+D34+D37</f>
        <v>6622943823.75826</v>
      </c>
      <c r="G43" s="597"/>
    </row>
    <row r="44" spans="1:12" ht="15.75" hidden="1" outlineLevel="1">
      <c r="A44" s="389" t="s">
        <v>659</v>
      </c>
      <c r="B44" s="390"/>
      <c r="C44" s="390">
        <v>2448030</v>
      </c>
      <c r="D44" s="392"/>
      <c r="E44" s="1024"/>
      <c r="F44" s="1024"/>
      <c r="J44" s="390"/>
      <c r="K44" s="390"/>
      <c r="L44" s="390"/>
    </row>
    <row r="45" spans="1:9" ht="15.75" hidden="1" outlineLevel="1">
      <c r="A45" s="389" t="s">
        <v>331</v>
      </c>
      <c r="B45" s="390"/>
      <c r="C45" s="393">
        <v>0.0482126</v>
      </c>
      <c r="D45" s="392"/>
      <c r="E45" s="1024"/>
      <c r="F45" s="1024"/>
      <c r="I45" s="379"/>
    </row>
    <row r="46" spans="1:8" ht="16.5" hidden="1" outlineLevel="1">
      <c r="A46" s="1067" t="s">
        <v>660</v>
      </c>
      <c r="B46" s="389"/>
      <c r="C46" s="390">
        <f>+C44*(1+C45)</f>
        <v>2566055.8911780003</v>
      </c>
      <c r="D46" s="392"/>
      <c r="E46" s="1024"/>
      <c r="F46" s="1068"/>
      <c r="G46" s="523"/>
      <c r="H46" s="522"/>
    </row>
    <row r="47" spans="1:8" ht="16.5" hidden="1" outlineLevel="1">
      <c r="A47" s="389"/>
      <c r="B47" s="389"/>
      <c r="C47" s="389"/>
      <c r="D47" s="394"/>
      <c r="E47" s="1024"/>
      <c r="F47" s="1069"/>
      <c r="G47" s="378"/>
      <c r="H47" s="378"/>
    </row>
    <row r="48" spans="1:6" ht="15.75" hidden="1" outlineLevel="1">
      <c r="A48" s="1067" t="s">
        <v>661</v>
      </c>
      <c r="B48" s="389"/>
      <c r="C48" s="397">
        <v>515000</v>
      </c>
      <c r="D48" s="395"/>
      <c r="E48" s="1024"/>
      <c r="F48" s="1024"/>
    </row>
    <row r="49" spans="1:6" ht="15.75" hidden="1" outlineLevel="1">
      <c r="A49" s="389" t="s">
        <v>331</v>
      </c>
      <c r="B49" s="389"/>
      <c r="C49" s="1070">
        <v>0.04</v>
      </c>
      <c r="D49" s="396"/>
      <c r="E49" s="1024"/>
      <c r="F49" s="1024"/>
    </row>
    <row r="50" spans="1:6" ht="15.75" hidden="1" outlineLevel="1">
      <c r="A50" s="389" t="s">
        <v>290</v>
      </c>
      <c r="B50" s="390"/>
      <c r="C50" s="397">
        <f>+C48*(1+C49)</f>
        <v>535600</v>
      </c>
      <c r="D50" s="406"/>
      <c r="E50" s="406"/>
      <c r="F50" s="1038"/>
    </row>
    <row r="51" spans="1:7" ht="15.75" hidden="1" outlineLevel="1">
      <c r="A51" s="1067" t="s">
        <v>662</v>
      </c>
      <c r="B51" s="390"/>
      <c r="C51" s="397">
        <f>ROUND(C50/30,0)-1</f>
        <v>17852</v>
      </c>
      <c r="D51" s="406"/>
      <c r="E51" s="406"/>
      <c r="F51" s="406"/>
      <c r="G51" s="557"/>
    </row>
    <row r="52" spans="1:6" ht="15.75" hidden="1" outlineLevel="1">
      <c r="A52" s="389"/>
      <c r="B52" s="390"/>
      <c r="C52" s="390"/>
      <c r="D52" s="389"/>
      <c r="E52" s="1024"/>
      <c r="F52" s="1024"/>
    </row>
    <row r="53" spans="1:6" ht="15.75" hidden="1" outlineLevel="1">
      <c r="A53" s="1067" t="s">
        <v>672</v>
      </c>
      <c r="B53" s="390"/>
      <c r="C53" s="397">
        <f>+C55/4*3</f>
        <v>2677.5</v>
      </c>
      <c r="D53" s="393"/>
      <c r="E53" s="1024"/>
      <c r="F53" s="1024"/>
    </row>
    <row r="54" spans="1:6" ht="15.75" hidden="1" outlineLevel="1">
      <c r="A54" s="389" t="s">
        <v>673</v>
      </c>
      <c r="B54" s="390"/>
      <c r="C54" s="397">
        <f>+C55/4</f>
        <v>892.5</v>
      </c>
      <c r="D54" s="521"/>
      <c r="E54" s="1071"/>
      <c r="F54" s="1024"/>
    </row>
    <row r="55" spans="1:6" ht="15.75" hidden="1" outlineLevel="1">
      <c r="A55" s="389" t="s">
        <v>291</v>
      </c>
      <c r="B55" s="390"/>
      <c r="C55" s="397">
        <f>+ROUND(C51*20%,0)</f>
        <v>3570</v>
      </c>
      <c r="D55" s="390"/>
      <c r="E55" s="1071"/>
      <c r="F55" s="1024"/>
    </row>
    <row r="56" spans="1:9" ht="15.75" hidden="1" outlineLevel="1">
      <c r="A56" s="389"/>
      <c r="B56" s="390"/>
      <c r="C56" s="397"/>
      <c r="D56" s="398"/>
      <c r="E56" s="381"/>
      <c r="F56" s="381"/>
      <c r="G56" s="381"/>
      <c r="H56" s="381"/>
      <c r="I56" s="381"/>
    </row>
    <row r="57" spans="1:9" ht="15.75" hidden="1" outlineLevel="1">
      <c r="A57" s="527" t="s">
        <v>266</v>
      </c>
      <c r="B57" s="529"/>
      <c r="C57" s="530">
        <f>+C62+C63+C66+C67+C70+C71</f>
        <v>6285411994.172345</v>
      </c>
      <c r="D57" s="568"/>
      <c r="E57" s="381"/>
      <c r="F57" s="381"/>
      <c r="G57" s="381"/>
      <c r="H57" s="381"/>
      <c r="I57" s="381"/>
    </row>
    <row r="58" spans="1:9" ht="15.75" hidden="1" outlineLevel="1">
      <c r="A58" s="389" t="s">
        <v>349</v>
      </c>
      <c r="B58" s="389"/>
      <c r="C58" s="521">
        <f>+'Escenario PPC '!B135</f>
        <v>6090000</v>
      </c>
      <c r="D58" s="400" t="s">
        <v>360</v>
      </c>
      <c r="E58" s="381"/>
      <c r="F58" s="381"/>
      <c r="G58" s="381"/>
      <c r="H58" s="381"/>
      <c r="I58" s="381"/>
    </row>
    <row r="59" spans="1:9" ht="15.75" hidden="1" outlineLevel="1">
      <c r="A59" s="389" t="s">
        <v>350</v>
      </c>
      <c r="B59" s="389"/>
      <c r="C59" s="521">
        <f>+'Escenario PPC '!B142</f>
        <v>0</v>
      </c>
      <c r="D59" s="400" t="s">
        <v>360</v>
      </c>
      <c r="E59" s="381"/>
      <c r="F59" s="381"/>
      <c r="G59" s="381"/>
      <c r="H59" s="381"/>
      <c r="I59" s="381"/>
    </row>
    <row r="60" spans="1:9" ht="15.75" hidden="1" outlineLevel="1">
      <c r="A60" s="389" t="s">
        <v>423</v>
      </c>
      <c r="B60" s="389"/>
      <c r="C60" s="521">
        <f>+'Escenario PPC '!G109</f>
        <v>929007124.8</v>
      </c>
      <c r="D60" s="400" t="s">
        <v>359</v>
      </c>
      <c r="E60" s="559"/>
      <c r="F60" s="381"/>
      <c r="G60" s="381"/>
      <c r="H60" s="381"/>
      <c r="I60" s="381"/>
    </row>
    <row r="61" spans="1:9" ht="15.75" hidden="1" outlineLevel="1">
      <c r="A61" s="389" t="s">
        <v>205</v>
      </c>
      <c r="B61" s="389"/>
      <c r="C61" s="521">
        <f>+'Escenario PPC '!L121</f>
        <v>2737741346</v>
      </c>
      <c r="D61" s="959"/>
      <c r="E61" s="960"/>
      <c r="F61" s="381"/>
      <c r="G61" s="381"/>
      <c r="H61" s="381"/>
      <c r="I61" s="381"/>
    </row>
    <row r="62" spans="1:9" ht="15.75" hidden="1" outlineLevel="1">
      <c r="A62" s="527" t="s">
        <v>424</v>
      </c>
      <c r="B62" s="389"/>
      <c r="C62" s="961">
        <f>SUM(C58:C61)</f>
        <v>3672838470.8</v>
      </c>
      <c r="D62" s="400"/>
      <c r="E62" s="381"/>
      <c r="F62" s="381"/>
      <c r="G62" s="381"/>
      <c r="H62" s="381"/>
      <c r="I62" s="381"/>
    </row>
    <row r="63" spans="1:9" ht="15.75" hidden="1" outlineLevel="1">
      <c r="A63" s="528" t="s">
        <v>248</v>
      </c>
      <c r="B63" s="389"/>
      <c r="C63" s="961">
        <f>+C64+C65</f>
        <v>26209247.325000003</v>
      </c>
      <c r="D63" s="399"/>
      <c r="E63" s="381"/>
      <c r="F63" s="381"/>
      <c r="G63" s="381"/>
      <c r="H63" s="381"/>
      <c r="I63" s="381"/>
    </row>
    <row r="64" spans="1:9" ht="15.75" hidden="1" outlineLevel="1">
      <c r="A64" s="389" t="s">
        <v>181</v>
      </c>
      <c r="B64" s="389"/>
      <c r="C64" s="521">
        <f>+(rendimientos!K24+rendimientos!K25+rendimientos!J30)*12</f>
        <v>24939779.130000003</v>
      </c>
      <c r="D64" s="399"/>
      <c r="E64" s="381"/>
      <c r="F64" s="381"/>
      <c r="G64" s="381"/>
      <c r="H64" s="381"/>
      <c r="I64" s="381"/>
    </row>
    <row r="65" spans="1:9" ht="15.75" hidden="1" outlineLevel="1">
      <c r="A65" s="389" t="s">
        <v>182</v>
      </c>
      <c r="B65" s="389"/>
      <c r="C65" s="521">
        <f>+rendimientos!J11*12</f>
        <v>1269468.1950000003</v>
      </c>
      <c r="D65" s="399"/>
      <c r="E65" s="381"/>
      <c r="F65" s="381"/>
      <c r="G65" s="381"/>
      <c r="H65" s="381"/>
      <c r="I65" s="381"/>
    </row>
    <row r="66" spans="1:9" ht="15.75" hidden="1" outlineLevel="1">
      <c r="A66" s="527" t="s">
        <v>520</v>
      </c>
      <c r="B66" s="389"/>
      <c r="C66" s="961">
        <f>+'Otros ingresos'!C11</f>
        <v>57082000</v>
      </c>
      <c r="D66" s="571"/>
      <c r="E66" s="381"/>
      <c r="F66" s="381"/>
      <c r="G66" s="381"/>
      <c r="H66" s="381"/>
      <c r="I66" s="381"/>
    </row>
    <row r="67" spans="1:9" ht="15.75" hidden="1" outlineLevel="1">
      <c r="A67" s="527" t="s">
        <v>358</v>
      </c>
      <c r="B67" s="389"/>
      <c r="C67" s="961">
        <f>+C68+C69</f>
        <v>57790876.650000006</v>
      </c>
      <c r="D67" s="401" t="s">
        <v>361</v>
      </c>
      <c r="E67" s="381"/>
      <c r="F67" s="381"/>
      <c r="G67" s="381"/>
      <c r="H67" s="381"/>
      <c r="I67" s="381"/>
    </row>
    <row r="68" spans="1:9" ht="15.75" hidden="1" outlineLevel="1">
      <c r="A68" s="389" t="s">
        <v>181</v>
      </c>
      <c r="B68" s="389"/>
      <c r="C68" s="521">
        <f>+(rendimientos!K20+rendimientos!K22+rendimientos!K23)*12</f>
        <v>51335297.31</v>
      </c>
      <c r="D68" s="401" t="s">
        <v>361</v>
      </c>
      <c r="E68" s="381"/>
      <c r="F68" s="381"/>
      <c r="G68" s="381"/>
      <c r="H68" s="381"/>
      <c r="I68" s="381"/>
    </row>
    <row r="69" spans="1:9" ht="15.75" hidden="1" outlineLevel="1">
      <c r="A69" s="389" t="s">
        <v>182</v>
      </c>
      <c r="B69"/>
      <c r="C69" s="521">
        <f>+(rendimientos!J7+rendimientos!J9+rendimientos!J12)*12</f>
        <v>6455579.340000001</v>
      </c>
      <c r="D69" s="382"/>
      <c r="E69" s="381"/>
      <c r="F69" s="381"/>
      <c r="G69" s="381"/>
      <c r="H69" s="381"/>
      <c r="I69" s="381"/>
    </row>
    <row r="70" spans="1:9" ht="15.75" hidden="1" outlineLevel="1">
      <c r="A70" s="527" t="s">
        <v>383</v>
      </c>
      <c r="B70" s="182"/>
      <c r="C70" s="961">
        <f>+'Otros ingresos'!C26</f>
        <v>2471491399.397345</v>
      </c>
      <c r="D70" s="381"/>
      <c r="E70" s="381"/>
      <c r="F70" s="381"/>
      <c r="G70" s="381"/>
      <c r="H70" s="381"/>
      <c r="I70" s="381"/>
    </row>
    <row r="71" spans="1:3" ht="15.75" collapsed="1">
      <c r="A71" s="527" t="s">
        <v>422</v>
      </c>
      <c r="B71" s="182"/>
      <c r="C71" s="428">
        <f>+'Otros ingresos'!C33</f>
        <v>0</v>
      </c>
    </row>
    <row r="72" spans="1:3" ht="15">
      <c r="A72"/>
      <c r="B72" s="182"/>
      <c r="C72" s="182"/>
    </row>
    <row r="73" spans="1:3" ht="15">
      <c r="A73"/>
      <c r="B73" s="182"/>
      <c r="C73" s="589"/>
    </row>
    <row r="74" spans="1:3" ht="15">
      <c r="A74"/>
      <c r="B74" s="182"/>
      <c r="C74" s="182"/>
    </row>
    <row r="75" spans="1:3" ht="15">
      <c r="A75"/>
      <c r="B75" s="182"/>
      <c r="C75" s="182"/>
    </row>
    <row r="76" spans="1:3" ht="15">
      <c r="A76"/>
      <c r="B76" s="182"/>
      <c r="C76" s="182"/>
    </row>
    <row r="77" spans="1:3" ht="15">
      <c r="A77"/>
      <c r="B77" s="182"/>
      <c r="C77" s="182"/>
    </row>
    <row r="78" spans="1:3" ht="15">
      <c r="A78"/>
      <c r="B78" s="182"/>
      <c r="C78" s="182"/>
    </row>
    <row r="79" spans="1:3" ht="15">
      <c r="A79"/>
      <c r="B79" s="182"/>
      <c r="C79" s="182"/>
    </row>
    <row r="80" spans="1:3" ht="15">
      <c r="A80"/>
      <c r="B80" s="182"/>
      <c r="C80" s="182"/>
    </row>
    <row r="81" spans="1:3" ht="15">
      <c r="A81"/>
      <c r="B81" s="182"/>
      <c r="C81" s="182"/>
    </row>
    <row r="82" spans="1:3" ht="15">
      <c r="A82"/>
      <c r="B82" s="182"/>
      <c r="C82" s="182"/>
    </row>
    <row r="83" spans="1:3" ht="15">
      <c r="A83"/>
      <c r="B83" s="182"/>
      <c r="C83" s="182"/>
    </row>
    <row r="84" spans="1:3" ht="15">
      <c r="A84"/>
      <c r="B84" s="182"/>
      <c r="C84" s="182"/>
    </row>
    <row r="85" spans="1:3" ht="15">
      <c r="A85"/>
      <c r="B85" s="182"/>
      <c r="C85" s="182"/>
    </row>
    <row r="86" spans="1:3" ht="15">
      <c r="A86"/>
      <c r="B86" s="182"/>
      <c r="C86" s="182"/>
    </row>
    <row r="87" spans="1:3" ht="15">
      <c r="A87"/>
      <c r="B87" s="182"/>
      <c r="C87" s="182"/>
    </row>
    <row r="88" spans="1:3" ht="15">
      <c r="A88"/>
      <c r="B88" s="182"/>
      <c r="C88" s="182"/>
    </row>
    <row r="89" spans="1:3" ht="15">
      <c r="A89"/>
      <c r="B89" s="182"/>
      <c r="C89" s="182"/>
    </row>
    <row r="90" spans="1:3" ht="15">
      <c r="A90"/>
      <c r="B90" s="182"/>
      <c r="C90" s="182"/>
    </row>
    <row r="91" spans="1:3" ht="15">
      <c r="A91"/>
      <c r="B91" s="182"/>
      <c r="C91" s="182"/>
    </row>
    <row r="92" spans="1:3" ht="15">
      <c r="A92"/>
      <c r="B92" s="182"/>
      <c r="C92" s="182"/>
    </row>
    <row r="93" spans="1:3" ht="15">
      <c r="A93"/>
      <c r="B93" s="182"/>
      <c r="C93" s="182"/>
    </row>
    <row r="94" spans="1:3" ht="15">
      <c r="A94"/>
      <c r="B94" s="182"/>
      <c r="C94" s="182"/>
    </row>
    <row r="95" spans="1:3" ht="15">
      <c r="A95"/>
      <c r="B95" s="182"/>
      <c r="C95" s="182"/>
    </row>
    <row r="96" spans="1:3" ht="15">
      <c r="A96"/>
      <c r="B96" s="182"/>
      <c r="C96" s="182"/>
    </row>
    <row r="97" spans="1:3" ht="15">
      <c r="A97"/>
      <c r="B97" s="182"/>
      <c r="C97" s="182"/>
    </row>
    <row r="98" spans="1:3" ht="15">
      <c r="A98"/>
      <c r="B98" s="182"/>
      <c r="C98" s="182"/>
    </row>
    <row r="99" spans="1:3" ht="15">
      <c r="A99"/>
      <c r="B99" s="182"/>
      <c r="C99" s="182"/>
    </row>
    <row r="100" spans="1:3" ht="15">
      <c r="A100"/>
      <c r="B100" s="182"/>
      <c r="C100" s="182"/>
    </row>
    <row r="101" spans="1:3" ht="15">
      <c r="A101"/>
      <c r="B101" s="182"/>
      <c r="C101" s="182"/>
    </row>
    <row r="102" spans="1:3" ht="15">
      <c r="A102"/>
      <c r="B102" s="182"/>
      <c r="C102" s="182"/>
    </row>
    <row r="103" spans="1:3" ht="15">
      <c r="A103"/>
      <c r="B103" s="182"/>
      <c r="C103" s="182"/>
    </row>
    <row r="104" spans="1:3" ht="15">
      <c r="A104"/>
      <c r="B104" s="182"/>
      <c r="C104" s="182"/>
    </row>
    <row r="105" spans="1:3" ht="15">
      <c r="A105"/>
      <c r="B105" s="182"/>
      <c r="C105" s="182"/>
    </row>
    <row r="106" spans="1:3" ht="15">
      <c r="A106"/>
      <c r="B106" s="182"/>
      <c r="C106" s="182"/>
    </row>
    <row r="107" spans="1:3" ht="15">
      <c r="A107"/>
      <c r="B107" s="182"/>
      <c r="C107" s="182"/>
    </row>
    <row r="108" spans="1:3" ht="15">
      <c r="A108"/>
      <c r="B108" s="182"/>
      <c r="C108" s="182"/>
    </row>
    <row r="109" spans="1:3" ht="15">
      <c r="A109"/>
      <c r="B109" s="182"/>
      <c r="C109" s="182"/>
    </row>
    <row r="110" spans="1:3" ht="15">
      <c r="A110"/>
      <c r="B110" s="182"/>
      <c r="C110" s="182"/>
    </row>
    <row r="111" spans="1:3" ht="15">
      <c r="A111"/>
      <c r="B111" s="182"/>
      <c r="C111" s="182"/>
    </row>
    <row r="112" spans="1:3" ht="15">
      <c r="A112"/>
      <c r="B112" s="182"/>
      <c r="C112" s="182"/>
    </row>
    <row r="113" spans="1:3" ht="15">
      <c r="A113"/>
      <c r="B113" s="182"/>
      <c r="C113" s="182"/>
    </row>
    <row r="114" spans="1:3" ht="15">
      <c r="A114"/>
      <c r="B114" s="182"/>
      <c r="C114" s="182"/>
    </row>
    <row r="115" spans="1:3" ht="15">
      <c r="A115"/>
      <c r="B115" s="182"/>
      <c r="C115" s="182"/>
    </row>
    <row r="116" spans="1:3" ht="15">
      <c r="A116"/>
      <c r="B116" s="182"/>
      <c r="C116" s="182"/>
    </row>
    <row r="117" spans="1:3" ht="15">
      <c r="A117"/>
      <c r="B117" s="182"/>
      <c r="C117" s="182"/>
    </row>
    <row r="118" spans="1:3" ht="15">
      <c r="A118"/>
      <c r="B118" s="182"/>
      <c r="C118" s="182"/>
    </row>
    <row r="119" spans="1:3" ht="15">
      <c r="A119"/>
      <c r="B119" s="182"/>
      <c r="C119" s="182"/>
    </row>
    <row r="120" spans="1:3" ht="15">
      <c r="A120"/>
      <c r="B120" s="182"/>
      <c r="C120" s="182"/>
    </row>
    <row r="121" spans="1:3" ht="15">
      <c r="A121"/>
      <c r="B121" s="182"/>
      <c r="C121" s="182"/>
    </row>
    <row r="122" spans="1:3" ht="15">
      <c r="A122"/>
      <c r="B122" s="182"/>
      <c r="C122" s="182"/>
    </row>
    <row r="123" spans="1:3" ht="15">
      <c r="A123"/>
      <c r="B123" s="182"/>
      <c r="C123" s="182"/>
    </row>
    <row r="124" spans="1:3" ht="15">
      <c r="A124"/>
      <c r="B124" s="182"/>
      <c r="C124" s="182"/>
    </row>
    <row r="125" spans="1:3" ht="15">
      <c r="A125"/>
      <c r="B125" s="182"/>
      <c r="C125" s="182"/>
    </row>
    <row r="126" spans="1:3" ht="15">
      <c r="A126"/>
      <c r="B126" s="182"/>
      <c r="C126" s="182"/>
    </row>
    <row r="127" spans="1:3" ht="15">
      <c r="A127"/>
      <c r="B127" s="182"/>
      <c r="C127" s="182"/>
    </row>
    <row r="128" spans="1:3" ht="15">
      <c r="A128"/>
      <c r="B128" s="182"/>
      <c r="C128" s="182"/>
    </row>
    <row r="129" spans="1:3" ht="15">
      <c r="A129"/>
      <c r="B129" s="182"/>
      <c r="C129" s="182"/>
    </row>
    <row r="130" spans="1:3" ht="15">
      <c r="A130"/>
      <c r="B130" s="182"/>
      <c r="C130" s="182"/>
    </row>
    <row r="131" spans="1:3" ht="15">
      <c r="A131"/>
      <c r="B131" s="182"/>
      <c r="C131" s="182"/>
    </row>
    <row r="132" spans="1:3" ht="15">
      <c r="A132"/>
      <c r="B132" s="182"/>
      <c r="C132" s="182"/>
    </row>
    <row r="133" spans="1:3" ht="15">
      <c r="A133"/>
      <c r="B133" s="182"/>
      <c r="C133" s="182"/>
    </row>
    <row r="134" spans="2:3" ht="15">
      <c r="B134" s="182"/>
      <c r="C134" s="182"/>
    </row>
    <row r="135" spans="2:3" ht="15">
      <c r="B135" s="182"/>
      <c r="C135" s="182"/>
    </row>
    <row r="136" spans="2:3" ht="15">
      <c r="B136" s="182"/>
      <c r="C136" s="182"/>
    </row>
    <row r="137" spans="2:3" ht="15">
      <c r="B137" s="182"/>
      <c r="C137" s="182"/>
    </row>
    <row r="138" spans="2:3" ht="15">
      <c r="B138" s="182"/>
      <c r="C138" s="182"/>
    </row>
    <row r="139" spans="2:3" ht="15">
      <c r="B139" s="182"/>
      <c r="C139" s="182"/>
    </row>
    <row r="140" spans="2:3" ht="15">
      <c r="B140" s="182"/>
      <c r="C140" s="182"/>
    </row>
    <row r="141" spans="2:3" ht="15">
      <c r="B141" s="182"/>
      <c r="C141" s="182"/>
    </row>
    <row r="142" spans="2:3" ht="15">
      <c r="B142" s="182"/>
      <c r="C142" s="182"/>
    </row>
    <row r="143" spans="2:3" ht="15">
      <c r="B143" s="182"/>
      <c r="C143" s="182"/>
    </row>
    <row r="144" spans="2:3" ht="15">
      <c r="B144" s="182"/>
      <c r="C144" s="182"/>
    </row>
    <row r="145" spans="2:3" ht="15">
      <c r="B145" s="182"/>
      <c r="C145" s="182"/>
    </row>
    <row r="146" spans="2:3" ht="15">
      <c r="B146" s="182"/>
      <c r="C146" s="182"/>
    </row>
    <row r="147" spans="2:3" ht="15">
      <c r="B147" s="182"/>
      <c r="C147" s="182"/>
    </row>
    <row r="148" spans="2:3" ht="15">
      <c r="B148" s="182"/>
      <c r="C148" s="182"/>
    </row>
    <row r="149" spans="2:3" ht="15">
      <c r="B149" s="182"/>
      <c r="C149" s="182"/>
    </row>
    <row r="150" spans="2:3" ht="15">
      <c r="B150" s="182"/>
      <c r="C150" s="182"/>
    </row>
    <row r="151" spans="2:3" ht="15">
      <c r="B151" s="182"/>
      <c r="C151" s="182"/>
    </row>
    <row r="152" spans="2:3" ht="15">
      <c r="B152" s="182"/>
      <c r="C152" s="182"/>
    </row>
    <row r="153" spans="2:3" ht="15">
      <c r="B153" s="182"/>
      <c r="C153" s="182"/>
    </row>
    <row r="154" spans="2:3" ht="15">
      <c r="B154" s="182"/>
      <c r="C154" s="182"/>
    </row>
    <row r="155" spans="2:3" ht="15">
      <c r="B155" s="182"/>
      <c r="C155" s="182"/>
    </row>
    <row r="156" spans="2:3" ht="15">
      <c r="B156" s="182"/>
      <c r="C156" s="182"/>
    </row>
    <row r="157" spans="2:3" ht="15">
      <c r="B157" s="182"/>
      <c r="C157" s="182"/>
    </row>
    <row r="158" spans="2:3" ht="15">
      <c r="B158" s="182"/>
      <c r="C158" s="182"/>
    </row>
    <row r="159" spans="2:3" ht="15">
      <c r="B159" s="182"/>
      <c r="C159" s="182"/>
    </row>
    <row r="160" spans="2:3" ht="15">
      <c r="B160" s="182"/>
      <c r="C160" s="182"/>
    </row>
    <row r="161" spans="2:3" ht="15">
      <c r="B161" s="182"/>
      <c r="C161" s="182"/>
    </row>
    <row r="162" spans="2:3" ht="15">
      <c r="B162" s="182"/>
      <c r="C162" s="182"/>
    </row>
    <row r="163" spans="2:3" ht="15">
      <c r="B163" s="182"/>
      <c r="C163" s="182"/>
    </row>
    <row r="164" spans="2:3" ht="15">
      <c r="B164" s="182"/>
      <c r="C164" s="182"/>
    </row>
    <row r="165" spans="2:3" ht="15">
      <c r="B165" s="182"/>
      <c r="C165" s="182"/>
    </row>
    <row r="166" spans="2:3" ht="15">
      <c r="B166" s="182"/>
      <c r="C166" s="182"/>
    </row>
    <row r="167" spans="2:3" ht="15">
      <c r="B167" s="182"/>
      <c r="C167" s="182"/>
    </row>
    <row r="168" spans="2:3" ht="15">
      <c r="B168" s="182"/>
      <c r="C168" s="182"/>
    </row>
    <row r="169" spans="2:3" ht="15">
      <c r="B169" s="182"/>
      <c r="C169" s="182"/>
    </row>
    <row r="170" spans="2:3" ht="15">
      <c r="B170" s="182"/>
      <c r="C170" s="182"/>
    </row>
    <row r="171" spans="2:3" ht="15">
      <c r="B171" s="182"/>
      <c r="C171" s="182"/>
    </row>
    <row r="172" spans="2:3" ht="15">
      <c r="B172" s="182"/>
      <c r="C172" s="182"/>
    </row>
    <row r="173" spans="2:3" ht="15">
      <c r="B173" s="182"/>
      <c r="C173" s="182"/>
    </row>
    <row r="174" spans="2:3" ht="15">
      <c r="B174" s="182"/>
      <c r="C174" s="182"/>
    </row>
    <row r="175" spans="2:3" ht="15">
      <c r="B175" s="182"/>
      <c r="C175" s="182"/>
    </row>
    <row r="176" spans="2:3" ht="15">
      <c r="B176" s="182"/>
      <c r="C176" s="182"/>
    </row>
    <row r="177" spans="2:3" ht="15">
      <c r="B177" s="182"/>
      <c r="C177" s="182"/>
    </row>
    <row r="178" spans="2:3" ht="15">
      <c r="B178" s="182"/>
      <c r="C178" s="182"/>
    </row>
    <row r="179" spans="2:3" ht="15">
      <c r="B179" s="182"/>
      <c r="C179" s="182"/>
    </row>
    <row r="180" spans="2:3" ht="15">
      <c r="B180" s="182"/>
      <c r="C180" s="182"/>
    </row>
    <row r="181" spans="2:3" ht="15">
      <c r="B181" s="182"/>
      <c r="C181" s="182"/>
    </row>
    <row r="182" spans="2:3" ht="15">
      <c r="B182" s="182"/>
      <c r="C182" s="182"/>
    </row>
    <row r="183" spans="2:3" ht="15">
      <c r="B183" s="182"/>
      <c r="C183" s="182"/>
    </row>
    <row r="184" spans="2:3" ht="15">
      <c r="B184" s="182"/>
      <c r="C184" s="182"/>
    </row>
    <row r="185" spans="2:3" ht="15">
      <c r="B185" s="182"/>
      <c r="C185" s="182"/>
    </row>
    <row r="186" spans="2:3" ht="15">
      <c r="B186" s="182"/>
      <c r="C186" s="182"/>
    </row>
    <row r="187" spans="2:3" ht="15">
      <c r="B187" s="182"/>
      <c r="C187" s="182"/>
    </row>
    <row r="188" spans="2:3" ht="15">
      <c r="B188" s="182"/>
      <c r="C188" s="182"/>
    </row>
    <row r="189" spans="2:3" ht="15">
      <c r="B189" s="182"/>
      <c r="C189" s="182"/>
    </row>
    <row r="190" spans="2:3" ht="15">
      <c r="B190" s="182"/>
      <c r="C190" s="182"/>
    </row>
    <row r="191" spans="2:3" ht="15">
      <c r="B191" s="182"/>
      <c r="C191" s="182"/>
    </row>
    <row r="192" spans="2:3" ht="15">
      <c r="B192" s="182"/>
      <c r="C192" s="182"/>
    </row>
    <row r="193" spans="2:3" ht="15">
      <c r="B193" s="182"/>
      <c r="C193" s="182"/>
    </row>
    <row r="194" spans="2:3" ht="15">
      <c r="B194" s="182"/>
      <c r="C194" s="182"/>
    </row>
    <row r="195" spans="2:3" ht="15">
      <c r="B195" s="182"/>
      <c r="C195" s="182"/>
    </row>
    <row r="196" spans="2:3" ht="15">
      <c r="B196" s="182"/>
      <c r="C196" s="182"/>
    </row>
    <row r="197" spans="2:3" ht="15">
      <c r="B197" s="182"/>
      <c r="C197" s="182"/>
    </row>
    <row r="198" spans="2:3" ht="15">
      <c r="B198" s="182"/>
      <c r="C198" s="182"/>
    </row>
    <row r="199" spans="2:3" ht="15">
      <c r="B199" s="182"/>
      <c r="C199" s="182"/>
    </row>
    <row r="200" spans="2:3" ht="15">
      <c r="B200" s="182"/>
      <c r="C200" s="182"/>
    </row>
    <row r="201" spans="2:3" ht="15">
      <c r="B201" s="182"/>
      <c r="C201" s="182"/>
    </row>
    <row r="202" spans="2:3" ht="15">
      <c r="B202" s="182"/>
      <c r="C202" s="182"/>
    </row>
    <row r="203" spans="2:3" ht="15">
      <c r="B203" s="182"/>
      <c r="C203" s="182"/>
    </row>
    <row r="204" spans="2:3" ht="15">
      <c r="B204" s="182"/>
      <c r="C204" s="182"/>
    </row>
    <row r="205" spans="2:3" ht="15">
      <c r="B205" s="182"/>
      <c r="C205" s="182"/>
    </row>
    <row r="206" spans="2:3" ht="15">
      <c r="B206" s="182"/>
      <c r="C206" s="182"/>
    </row>
    <row r="207" spans="2:3" ht="15">
      <c r="B207" s="182"/>
      <c r="C207" s="182"/>
    </row>
    <row r="208" spans="2:3" ht="15">
      <c r="B208" s="182"/>
      <c r="C208" s="182"/>
    </row>
    <row r="209" spans="2:3" ht="15">
      <c r="B209" s="182"/>
      <c r="C209" s="182"/>
    </row>
    <row r="210" spans="2:3" ht="15">
      <c r="B210" s="182"/>
      <c r="C210" s="182"/>
    </row>
    <row r="211" spans="2:3" ht="15">
      <c r="B211" s="182"/>
      <c r="C211" s="182"/>
    </row>
    <row r="212" spans="2:3" ht="15">
      <c r="B212" s="182"/>
      <c r="C212" s="182"/>
    </row>
    <row r="213" spans="2:3" ht="15">
      <c r="B213" s="182"/>
      <c r="C213" s="182"/>
    </row>
    <row r="214" spans="2:3" ht="15">
      <c r="B214" s="182"/>
      <c r="C214" s="182"/>
    </row>
    <row r="215" spans="2:3" ht="15">
      <c r="B215" s="182"/>
      <c r="C215" s="182"/>
    </row>
    <row r="216" spans="2:3" ht="15">
      <c r="B216" s="182"/>
      <c r="C216" s="182"/>
    </row>
    <row r="217" spans="2:3" ht="15">
      <c r="B217" s="182"/>
      <c r="C217" s="182"/>
    </row>
    <row r="218" spans="2:3" ht="15">
      <c r="B218" s="182"/>
      <c r="C218" s="182"/>
    </row>
    <row r="219" spans="2:3" ht="15">
      <c r="B219" s="182"/>
      <c r="C219" s="182"/>
    </row>
    <row r="220" spans="2:3" ht="15">
      <c r="B220" s="182"/>
      <c r="C220" s="182"/>
    </row>
    <row r="221" spans="2:3" ht="15">
      <c r="B221" s="182"/>
      <c r="C221" s="182"/>
    </row>
    <row r="222" spans="2:3" ht="15">
      <c r="B222" s="182"/>
      <c r="C222" s="182"/>
    </row>
    <row r="223" spans="2:3" ht="15">
      <c r="B223" s="182"/>
      <c r="C223" s="182"/>
    </row>
    <row r="224" spans="2:3" ht="15">
      <c r="B224" s="182"/>
      <c r="C224" s="182"/>
    </row>
    <row r="225" spans="2:3" ht="15">
      <c r="B225" s="182"/>
      <c r="C225" s="182"/>
    </row>
    <row r="226" spans="2:3" ht="15">
      <c r="B226" s="182"/>
      <c r="C226" s="182"/>
    </row>
    <row r="227" spans="2:3" ht="15">
      <c r="B227" s="182"/>
      <c r="C227" s="182"/>
    </row>
    <row r="228" spans="2:3" ht="15">
      <c r="B228" s="182"/>
      <c r="C228" s="182"/>
    </row>
    <row r="229" spans="2:3" ht="15">
      <c r="B229" s="182"/>
      <c r="C229" s="182"/>
    </row>
    <row r="230" spans="2:3" ht="15">
      <c r="B230" s="182"/>
      <c r="C230" s="182"/>
    </row>
    <row r="231" spans="2:3" ht="15">
      <c r="B231" s="182"/>
      <c r="C231" s="182"/>
    </row>
    <row r="232" spans="2:3" ht="15">
      <c r="B232" s="182"/>
      <c r="C232" s="182"/>
    </row>
    <row r="233" spans="2:3" ht="15">
      <c r="B233" s="182"/>
      <c r="C233" s="182"/>
    </row>
    <row r="234" spans="2:3" ht="15">
      <c r="B234" s="182"/>
      <c r="C234" s="182"/>
    </row>
    <row r="235" spans="2:3" ht="15">
      <c r="B235" s="182"/>
      <c r="C235" s="182"/>
    </row>
    <row r="236" spans="2:3" ht="15">
      <c r="B236" s="182"/>
      <c r="C236" s="182"/>
    </row>
    <row r="237" spans="2:3" ht="15">
      <c r="B237" s="182"/>
      <c r="C237" s="182"/>
    </row>
    <row r="238" spans="2:3" ht="15">
      <c r="B238" s="182"/>
      <c r="C238" s="182"/>
    </row>
    <row r="239" spans="2:3" ht="15">
      <c r="B239" s="182"/>
      <c r="C239" s="182"/>
    </row>
    <row r="240" spans="2:3" ht="15">
      <c r="B240" s="182"/>
      <c r="C240" s="182"/>
    </row>
    <row r="241" spans="2:3" ht="15">
      <c r="B241" s="182"/>
      <c r="C241" s="182"/>
    </row>
    <row r="242" spans="2:3" ht="15">
      <c r="B242" s="182"/>
      <c r="C242" s="182"/>
    </row>
    <row r="243" spans="2:3" ht="15">
      <c r="B243" s="182"/>
      <c r="C243" s="182"/>
    </row>
    <row r="244" spans="2:3" ht="15">
      <c r="B244" s="182"/>
      <c r="C244" s="182"/>
    </row>
    <row r="245" spans="2:3" ht="15">
      <c r="B245" s="182"/>
      <c r="C245" s="182"/>
    </row>
    <row r="246" spans="2:3" ht="15">
      <c r="B246" s="182"/>
      <c r="C246" s="182"/>
    </row>
    <row r="247" spans="2:3" ht="15">
      <c r="B247" s="182"/>
      <c r="C247" s="182"/>
    </row>
    <row r="248" spans="2:3" ht="15">
      <c r="B248" s="182"/>
      <c r="C248" s="182"/>
    </row>
    <row r="249" spans="2:3" ht="15">
      <c r="B249" s="182"/>
      <c r="C249" s="182"/>
    </row>
    <row r="250" spans="2:3" ht="15">
      <c r="B250" s="182"/>
      <c r="C250" s="182"/>
    </row>
    <row r="251" spans="2:3" ht="15">
      <c r="B251" s="182"/>
      <c r="C251" s="182"/>
    </row>
    <row r="252" spans="2:3" ht="15">
      <c r="B252" s="182"/>
      <c r="C252" s="182"/>
    </row>
    <row r="253" spans="2:3" ht="15">
      <c r="B253" s="182"/>
      <c r="C253" s="182"/>
    </row>
    <row r="254" spans="2:3" ht="15">
      <c r="B254" s="182"/>
      <c r="C254" s="182"/>
    </row>
    <row r="255" spans="2:3" ht="15">
      <c r="B255" s="182"/>
      <c r="C255" s="182"/>
    </row>
    <row r="256" spans="2:3" ht="15">
      <c r="B256" s="182"/>
      <c r="C256" s="182"/>
    </row>
    <row r="257" spans="2:3" ht="15">
      <c r="B257" s="182"/>
      <c r="C257" s="182"/>
    </row>
    <row r="258" spans="2:3" ht="15">
      <c r="B258" s="182"/>
      <c r="C258" s="182"/>
    </row>
    <row r="259" spans="2:3" ht="15">
      <c r="B259" s="182"/>
      <c r="C259" s="182"/>
    </row>
    <row r="260" spans="2:3" ht="15">
      <c r="B260" s="182"/>
      <c r="C260" s="182"/>
    </row>
    <row r="261" spans="2:3" ht="15">
      <c r="B261" s="182"/>
      <c r="C261" s="182"/>
    </row>
    <row r="262" spans="2:3" ht="15">
      <c r="B262" s="182"/>
      <c r="C262" s="182"/>
    </row>
    <row r="263" spans="2:3" ht="15">
      <c r="B263" s="182"/>
      <c r="C263" s="182"/>
    </row>
    <row r="264" spans="2:3" ht="15">
      <c r="B264" s="182"/>
      <c r="C264" s="182"/>
    </row>
    <row r="265" spans="2:3" ht="15">
      <c r="B265" s="182"/>
      <c r="C265" s="182"/>
    </row>
    <row r="266" spans="2:3" ht="15">
      <c r="B266" s="182"/>
      <c r="C266" s="182"/>
    </row>
    <row r="267" spans="2:3" ht="15">
      <c r="B267" s="182"/>
      <c r="C267" s="182"/>
    </row>
    <row r="268" spans="2:3" ht="15">
      <c r="B268" s="182"/>
      <c r="C268" s="182"/>
    </row>
    <row r="269" spans="2:3" ht="15">
      <c r="B269" s="182"/>
      <c r="C269" s="182"/>
    </row>
    <row r="270" spans="2:3" ht="15">
      <c r="B270" s="182"/>
      <c r="C270" s="182"/>
    </row>
    <row r="271" spans="2:3" ht="15">
      <c r="B271" s="182"/>
      <c r="C271" s="182"/>
    </row>
    <row r="272" spans="2:3" ht="15">
      <c r="B272" s="182"/>
      <c r="C272" s="182"/>
    </row>
    <row r="273" spans="2:3" ht="15">
      <c r="B273" s="182"/>
      <c r="C273" s="182"/>
    </row>
    <row r="274" spans="2:3" ht="15">
      <c r="B274" s="182"/>
      <c r="C274" s="182"/>
    </row>
    <row r="275" spans="2:3" ht="15">
      <c r="B275" s="182"/>
      <c r="C275" s="182"/>
    </row>
    <row r="276" spans="2:3" ht="15">
      <c r="B276" s="182"/>
      <c r="C276" s="182"/>
    </row>
    <row r="277" spans="2:3" ht="15">
      <c r="B277" s="182"/>
      <c r="C277" s="182"/>
    </row>
    <row r="278" spans="2:3" ht="15">
      <c r="B278" s="182"/>
      <c r="C278" s="182"/>
    </row>
    <row r="279" spans="2:3" ht="15">
      <c r="B279" s="182"/>
      <c r="C279" s="182"/>
    </row>
    <row r="280" spans="2:3" ht="15">
      <c r="B280" s="182"/>
      <c r="C280" s="182"/>
    </row>
    <row r="281" spans="2:3" ht="15">
      <c r="B281" s="182"/>
      <c r="C281" s="182"/>
    </row>
    <row r="282" spans="2:3" ht="15">
      <c r="B282" s="182"/>
      <c r="C282" s="182"/>
    </row>
    <row r="283" spans="2:3" ht="15">
      <c r="B283" s="182"/>
      <c r="C283" s="182"/>
    </row>
    <row r="284" spans="2:3" ht="15">
      <c r="B284" s="182"/>
      <c r="C284" s="182"/>
    </row>
    <row r="285" spans="2:3" ht="15">
      <c r="B285" s="182"/>
      <c r="C285" s="182"/>
    </row>
    <row r="286" spans="2:3" ht="15">
      <c r="B286" s="182"/>
      <c r="C286" s="182"/>
    </row>
    <row r="287" spans="2:3" ht="15">
      <c r="B287" s="182"/>
      <c r="C287" s="182"/>
    </row>
    <row r="288" spans="2:3" ht="15">
      <c r="B288" s="182"/>
      <c r="C288" s="182"/>
    </row>
    <row r="289" spans="2:3" ht="15">
      <c r="B289" s="182"/>
      <c r="C289" s="182"/>
    </row>
    <row r="290" spans="2:3" ht="15">
      <c r="B290" s="182"/>
      <c r="C290" s="182"/>
    </row>
    <row r="291" spans="2:3" ht="15">
      <c r="B291" s="182"/>
      <c r="C291" s="182"/>
    </row>
    <row r="292" spans="2:3" ht="15">
      <c r="B292" s="182"/>
      <c r="C292" s="182"/>
    </row>
    <row r="293" spans="2:3" ht="15">
      <c r="B293" s="182"/>
      <c r="C293" s="182"/>
    </row>
    <row r="294" spans="2:3" ht="15">
      <c r="B294" s="182"/>
      <c r="C294" s="182"/>
    </row>
    <row r="295" spans="2:3" ht="15">
      <c r="B295" s="182"/>
      <c r="C295" s="182"/>
    </row>
    <row r="296" spans="2:3" ht="15">
      <c r="B296" s="182"/>
      <c r="C296" s="182"/>
    </row>
    <row r="297" spans="2:3" ht="15">
      <c r="B297" s="182"/>
      <c r="C297" s="182"/>
    </row>
    <row r="298" spans="2:3" ht="15">
      <c r="B298" s="182"/>
      <c r="C298" s="182"/>
    </row>
    <row r="299" spans="2:3" ht="15">
      <c r="B299" s="182"/>
      <c r="C299" s="182"/>
    </row>
    <row r="300" spans="2:3" ht="15">
      <c r="B300" s="182"/>
      <c r="C300" s="182"/>
    </row>
    <row r="301" spans="2:3" ht="15">
      <c r="B301" s="182"/>
      <c r="C301" s="182"/>
    </row>
    <row r="302" spans="2:3" ht="15">
      <c r="B302" s="182"/>
      <c r="C302" s="182"/>
    </row>
    <row r="303" spans="2:3" ht="15">
      <c r="B303" s="182"/>
      <c r="C303" s="182"/>
    </row>
    <row r="304" spans="2:3" ht="15">
      <c r="B304" s="182"/>
      <c r="C304" s="182"/>
    </row>
    <row r="305" spans="2:3" ht="15">
      <c r="B305" s="182"/>
      <c r="C305" s="182"/>
    </row>
    <row r="306" spans="2:3" ht="15">
      <c r="B306" s="182"/>
      <c r="C306" s="182"/>
    </row>
    <row r="307" spans="2:3" ht="15">
      <c r="B307" s="182"/>
      <c r="C307" s="182"/>
    </row>
    <row r="308" spans="2:3" ht="15">
      <c r="B308" s="182"/>
      <c r="C308" s="182"/>
    </row>
    <row r="309" spans="2:3" ht="15">
      <c r="B309" s="182"/>
      <c r="C309" s="182"/>
    </row>
    <row r="310" spans="2:3" ht="15">
      <c r="B310" s="182"/>
      <c r="C310" s="182"/>
    </row>
    <row r="311" spans="2:3" ht="15">
      <c r="B311" s="182"/>
      <c r="C311" s="182"/>
    </row>
    <row r="312" spans="2:3" ht="15">
      <c r="B312" s="182"/>
      <c r="C312" s="182"/>
    </row>
    <row r="313" spans="2:3" ht="15">
      <c r="B313" s="182"/>
      <c r="C313" s="182"/>
    </row>
    <row r="314" spans="2:3" ht="15">
      <c r="B314" s="182"/>
      <c r="C314" s="182"/>
    </row>
    <row r="315" spans="2:3" ht="15">
      <c r="B315" s="182"/>
      <c r="C315" s="182"/>
    </row>
    <row r="316" spans="2:3" ht="15">
      <c r="B316" s="182"/>
      <c r="C316" s="182"/>
    </row>
    <row r="317" spans="2:3" ht="15">
      <c r="B317" s="182"/>
      <c r="C317" s="182"/>
    </row>
    <row r="318" spans="2:3" ht="15">
      <c r="B318" s="182"/>
      <c r="C318" s="182"/>
    </row>
    <row r="319" spans="2:3" ht="15">
      <c r="B319" s="182"/>
      <c r="C319" s="182"/>
    </row>
    <row r="320" spans="2:3" ht="15">
      <c r="B320" s="182"/>
      <c r="C320" s="182"/>
    </row>
    <row r="321" spans="2:3" ht="15">
      <c r="B321" s="182"/>
      <c r="C321" s="182"/>
    </row>
    <row r="322" spans="2:3" ht="15">
      <c r="B322" s="182"/>
      <c r="C322" s="182"/>
    </row>
    <row r="323" spans="2:3" ht="15">
      <c r="B323" s="182"/>
      <c r="C323" s="182"/>
    </row>
    <row r="324" spans="2:3" ht="15">
      <c r="B324" s="182"/>
      <c r="C324" s="182"/>
    </row>
    <row r="325" spans="2:3" ht="15">
      <c r="B325" s="182"/>
      <c r="C325" s="182"/>
    </row>
    <row r="326" spans="2:3" ht="15">
      <c r="B326" s="182"/>
      <c r="C326" s="182"/>
    </row>
    <row r="327" spans="2:3" ht="15">
      <c r="B327" s="182"/>
      <c r="C327" s="182"/>
    </row>
    <row r="328" spans="2:3" ht="15">
      <c r="B328" s="182"/>
      <c r="C328" s="182"/>
    </row>
    <row r="329" spans="2:3" ht="15">
      <c r="B329" s="182"/>
      <c r="C329" s="182"/>
    </row>
    <row r="330" spans="2:3" ht="15">
      <c r="B330" s="182"/>
      <c r="C330" s="182"/>
    </row>
    <row r="331" spans="2:3" ht="15">
      <c r="B331" s="182"/>
      <c r="C331" s="182"/>
    </row>
    <row r="332" spans="2:3" ht="15">
      <c r="B332" s="182"/>
      <c r="C332" s="182"/>
    </row>
    <row r="333" spans="2:3" ht="15">
      <c r="B333" s="182"/>
      <c r="C333" s="182"/>
    </row>
    <row r="334" spans="2:3" ht="15">
      <c r="B334" s="182"/>
      <c r="C334" s="182"/>
    </row>
    <row r="335" spans="2:3" ht="15">
      <c r="B335" s="182"/>
      <c r="C335" s="182"/>
    </row>
    <row r="336" spans="2:3" ht="15">
      <c r="B336" s="182"/>
      <c r="C336" s="182"/>
    </row>
    <row r="337" spans="2:3" ht="15">
      <c r="B337" s="182"/>
      <c r="C337" s="182"/>
    </row>
    <row r="338" spans="2:3" ht="15">
      <c r="B338" s="182"/>
      <c r="C338" s="182"/>
    </row>
    <row r="339" spans="2:3" ht="15">
      <c r="B339" s="182"/>
      <c r="C339" s="182"/>
    </row>
    <row r="340" spans="2:3" ht="15">
      <c r="B340" s="182"/>
      <c r="C340" s="182"/>
    </row>
    <row r="341" spans="2:3" ht="15">
      <c r="B341" s="182"/>
      <c r="C341" s="182"/>
    </row>
    <row r="342" spans="2:3" ht="15">
      <c r="B342" s="182"/>
      <c r="C342" s="182"/>
    </row>
    <row r="343" spans="2:3" ht="15">
      <c r="B343" s="182"/>
      <c r="C343" s="182"/>
    </row>
    <row r="344" spans="2:3" ht="15">
      <c r="B344" s="182"/>
      <c r="C344" s="182"/>
    </row>
    <row r="345" spans="2:3" ht="15">
      <c r="B345" s="182"/>
      <c r="C345" s="182"/>
    </row>
    <row r="346" spans="2:3" ht="15">
      <c r="B346" s="182"/>
      <c r="C346" s="182"/>
    </row>
    <row r="347" spans="2:3" ht="15">
      <c r="B347" s="182"/>
      <c r="C347" s="182"/>
    </row>
    <row r="348" spans="2:3" ht="15">
      <c r="B348" s="182"/>
      <c r="C348" s="182"/>
    </row>
    <row r="349" spans="2:3" ht="15">
      <c r="B349" s="182"/>
      <c r="C349" s="182"/>
    </row>
    <row r="350" spans="2:3" ht="15">
      <c r="B350" s="182"/>
      <c r="C350" s="182"/>
    </row>
    <row r="351" spans="2:3" ht="15">
      <c r="B351" s="182"/>
      <c r="C351" s="182"/>
    </row>
    <row r="352" spans="2:3" ht="15">
      <c r="B352" s="182"/>
      <c r="C352" s="182"/>
    </row>
    <row r="353" spans="2:3" ht="15">
      <c r="B353" s="182"/>
      <c r="C353" s="182"/>
    </row>
    <row r="354" spans="2:3" ht="15">
      <c r="B354" s="182"/>
      <c r="C354" s="182"/>
    </row>
    <row r="355" spans="2:3" ht="15">
      <c r="B355" s="182"/>
      <c r="C355" s="182"/>
    </row>
    <row r="356" spans="2:3" ht="15">
      <c r="B356" s="182"/>
      <c r="C356" s="182"/>
    </row>
    <row r="357" spans="2:3" ht="15">
      <c r="B357" s="182"/>
      <c r="C357" s="182"/>
    </row>
    <row r="358" spans="2:3" ht="15">
      <c r="B358" s="182"/>
      <c r="C358" s="182"/>
    </row>
    <row r="359" spans="2:3" ht="15">
      <c r="B359" s="182"/>
      <c r="C359" s="182"/>
    </row>
    <row r="360" spans="2:3" ht="15">
      <c r="B360" s="182"/>
      <c r="C360" s="182"/>
    </row>
    <row r="361" spans="2:3" ht="15">
      <c r="B361" s="182"/>
      <c r="C361" s="182"/>
    </row>
    <row r="362" spans="2:3" ht="15">
      <c r="B362" s="182"/>
      <c r="C362" s="182"/>
    </row>
    <row r="363" spans="2:3" ht="15">
      <c r="B363" s="182"/>
      <c r="C363" s="182"/>
    </row>
    <row r="364" spans="2:3" ht="15">
      <c r="B364" s="182"/>
      <c r="C364" s="182"/>
    </row>
    <row r="365" spans="2:3" ht="15">
      <c r="B365" s="182"/>
      <c r="C365" s="182"/>
    </row>
    <row r="366" spans="2:3" ht="15">
      <c r="B366" s="182"/>
      <c r="C366" s="182"/>
    </row>
    <row r="367" spans="2:3" ht="15">
      <c r="B367" s="182"/>
      <c r="C367" s="182"/>
    </row>
    <row r="368" spans="2:3" ht="15">
      <c r="B368" s="182"/>
      <c r="C368" s="182"/>
    </row>
    <row r="369" spans="2:3" ht="15">
      <c r="B369" s="182"/>
      <c r="C369" s="182"/>
    </row>
    <row r="370" spans="2:3" ht="15">
      <c r="B370" s="182"/>
      <c r="C370" s="182"/>
    </row>
    <row r="371" spans="2:3" ht="15">
      <c r="B371" s="182"/>
      <c r="C371" s="182"/>
    </row>
    <row r="372" spans="2:3" ht="15">
      <c r="B372" s="182"/>
      <c r="C372" s="182"/>
    </row>
    <row r="373" spans="2:3" ht="15">
      <c r="B373" s="182"/>
      <c r="C373" s="182"/>
    </row>
    <row r="374" spans="2:3" ht="15">
      <c r="B374" s="182"/>
      <c r="C374" s="182"/>
    </row>
    <row r="375" spans="2:3" ht="15">
      <c r="B375" s="182"/>
      <c r="C375" s="182"/>
    </row>
    <row r="376" spans="2:3" ht="15">
      <c r="B376" s="182"/>
      <c r="C376" s="182"/>
    </row>
    <row r="377" spans="2:3" ht="15">
      <c r="B377" s="182"/>
      <c r="C377" s="182"/>
    </row>
    <row r="378" spans="2:3" ht="15">
      <c r="B378" s="182"/>
      <c r="C378" s="182"/>
    </row>
    <row r="379" spans="2:3" ht="15">
      <c r="B379" s="182"/>
      <c r="C379" s="182"/>
    </row>
    <row r="380" spans="2:3" ht="15">
      <c r="B380" s="182"/>
      <c r="C380" s="182"/>
    </row>
    <row r="381" spans="2:3" ht="15">
      <c r="B381" s="182"/>
      <c r="C381" s="182"/>
    </row>
    <row r="382" spans="2:3" ht="15">
      <c r="B382" s="182"/>
      <c r="C382" s="182"/>
    </row>
    <row r="383" spans="2:3" ht="15">
      <c r="B383" s="182"/>
      <c r="C383" s="182"/>
    </row>
    <row r="384" spans="2:3" ht="15">
      <c r="B384" s="182"/>
      <c r="C384" s="182"/>
    </row>
    <row r="385" spans="2:3" ht="15">
      <c r="B385" s="182"/>
      <c r="C385" s="182"/>
    </row>
    <row r="386" spans="2:3" ht="15">
      <c r="B386" s="182"/>
      <c r="C386" s="182"/>
    </row>
    <row r="387" spans="2:3" ht="15">
      <c r="B387" s="182"/>
      <c r="C387" s="182"/>
    </row>
    <row r="388" spans="2:3" ht="15">
      <c r="B388" s="182"/>
      <c r="C388" s="182"/>
    </row>
    <row r="389" spans="2:3" ht="15">
      <c r="B389" s="182"/>
      <c r="C389" s="182"/>
    </row>
    <row r="390" spans="2:3" ht="15">
      <c r="B390" s="182"/>
      <c r="C390" s="182"/>
    </row>
    <row r="391" spans="2:3" ht="15">
      <c r="B391" s="182"/>
      <c r="C391" s="182"/>
    </row>
    <row r="392" spans="2:3" ht="15">
      <c r="B392" s="182"/>
      <c r="C392" s="182"/>
    </row>
    <row r="393" spans="2:3" ht="15">
      <c r="B393" s="182"/>
      <c r="C393" s="182"/>
    </row>
    <row r="394" spans="2:3" ht="15">
      <c r="B394" s="182"/>
      <c r="C394" s="182"/>
    </row>
    <row r="395" spans="2:3" ht="15">
      <c r="B395" s="182"/>
      <c r="C395" s="182"/>
    </row>
    <row r="396" spans="2:3" ht="15">
      <c r="B396" s="182"/>
      <c r="C396" s="182"/>
    </row>
    <row r="397" spans="2:3" ht="15">
      <c r="B397" s="182"/>
      <c r="C397" s="182"/>
    </row>
    <row r="398" spans="2:3" ht="15">
      <c r="B398" s="182"/>
      <c r="C398" s="182"/>
    </row>
    <row r="399" spans="2:3" ht="15">
      <c r="B399" s="182"/>
      <c r="C399" s="182"/>
    </row>
    <row r="400" spans="2:3" ht="15">
      <c r="B400" s="182"/>
      <c r="C400" s="182"/>
    </row>
    <row r="401" spans="2:3" ht="15">
      <c r="B401" s="182"/>
      <c r="C401" s="182"/>
    </row>
    <row r="402" spans="2:3" ht="15">
      <c r="B402" s="182"/>
      <c r="C402" s="182"/>
    </row>
    <row r="403" spans="2:3" ht="15">
      <c r="B403" s="182"/>
      <c r="C403" s="182"/>
    </row>
    <row r="404" spans="2:3" ht="15">
      <c r="B404" s="182"/>
      <c r="C404" s="182"/>
    </row>
    <row r="405" spans="2:3" ht="15">
      <c r="B405" s="182"/>
      <c r="C405" s="182"/>
    </row>
    <row r="406" spans="2:3" ht="15">
      <c r="B406" s="182"/>
      <c r="C406" s="182"/>
    </row>
    <row r="407" spans="2:3" ht="15">
      <c r="B407" s="182"/>
      <c r="C407" s="182"/>
    </row>
    <row r="408" spans="2:3" ht="15">
      <c r="B408" s="182"/>
      <c r="C408" s="182"/>
    </row>
    <row r="409" spans="2:3" ht="15">
      <c r="B409" s="182"/>
      <c r="C409" s="182"/>
    </row>
    <row r="410" spans="2:3" ht="15">
      <c r="B410" s="182"/>
      <c r="C410" s="182"/>
    </row>
    <row r="411" spans="2:3" ht="15">
      <c r="B411" s="182"/>
      <c r="C411" s="182"/>
    </row>
    <row r="412" spans="2:3" ht="15">
      <c r="B412" s="182"/>
      <c r="C412" s="182"/>
    </row>
    <row r="413" spans="2:3" ht="15">
      <c r="B413" s="182"/>
      <c r="C413" s="182"/>
    </row>
    <row r="414" spans="2:3" ht="15">
      <c r="B414" s="182"/>
      <c r="C414" s="182"/>
    </row>
    <row r="415" spans="2:3" ht="15">
      <c r="B415" s="182"/>
      <c r="C415" s="182"/>
    </row>
    <row r="416" spans="2:3" ht="15">
      <c r="B416" s="182"/>
      <c r="C416" s="182"/>
    </row>
    <row r="417" spans="2:3" ht="15">
      <c r="B417" s="182"/>
      <c r="C417" s="182"/>
    </row>
    <row r="418" spans="2:3" ht="15">
      <c r="B418" s="182"/>
      <c r="C418" s="182"/>
    </row>
    <row r="419" spans="2:3" ht="15">
      <c r="B419" s="182"/>
      <c r="C419" s="182"/>
    </row>
    <row r="420" spans="2:3" ht="15">
      <c r="B420" s="182"/>
      <c r="C420" s="182"/>
    </row>
    <row r="421" spans="2:3" ht="15">
      <c r="B421" s="182"/>
      <c r="C421" s="182"/>
    </row>
    <row r="422" spans="2:3" ht="15">
      <c r="B422" s="182"/>
      <c r="C422" s="182"/>
    </row>
    <row r="423" spans="2:3" ht="15">
      <c r="B423" s="182"/>
      <c r="C423" s="182"/>
    </row>
    <row r="424" spans="2:3" ht="15">
      <c r="B424" s="182"/>
      <c r="C424" s="182"/>
    </row>
    <row r="425" spans="2:3" ht="15">
      <c r="B425" s="182"/>
      <c r="C425" s="182"/>
    </row>
    <row r="426" spans="2:3" ht="15">
      <c r="B426" s="182"/>
      <c r="C426" s="182"/>
    </row>
    <row r="427" spans="2:3" ht="15">
      <c r="B427" s="182"/>
      <c r="C427" s="182"/>
    </row>
    <row r="428" spans="2:3" ht="15">
      <c r="B428" s="182"/>
      <c r="C428" s="182"/>
    </row>
    <row r="429" spans="2:3" ht="15">
      <c r="B429" s="182"/>
      <c r="C429" s="182"/>
    </row>
    <row r="430" spans="2:3" ht="15">
      <c r="B430" s="182"/>
      <c r="C430" s="182"/>
    </row>
    <row r="431" spans="2:3" ht="15">
      <c r="B431" s="182"/>
      <c r="C431" s="182"/>
    </row>
    <row r="432" spans="2:3" ht="15">
      <c r="B432" s="182"/>
      <c r="C432" s="182"/>
    </row>
    <row r="433" spans="2:3" ht="15">
      <c r="B433" s="182"/>
      <c r="C433" s="182"/>
    </row>
    <row r="434" spans="2:3" ht="15">
      <c r="B434" s="182"/>
      <c r="C434" s="182"/>
    </row>
    <row r="435" spans="2:3" ht="15">
      <c r="B435" s="182"/>
      <c r="C435" s="182"/>
    </row>
    <row r="436" spans="2:3" ht="15">
      <c r="B436" s="182"/>
      <c r="C436" s="182"/>
    </row>
    <row r="437" spans="2:3" ht="15">
      <c r="B437" s="182"/>
      <c r="C437" s="182"/>
    </row>
    <row r="438" spans="2:3" ht="15">
      <c r="B438" s="182"/>
      <c r="C438" s="182"/>
    </row>
    <row r="439" spans="2:3" ht="15">
      <c r="B439" s="182"/>
      <c r="C439" s="182"/>
    </row>
    <row r="440" spans="2:3" ht="15">
      <c r="B440" s="182"/>
      <c r="C440" s="182"/>
    </row>
    <row r="441" spans="2:3" ht="15">
      <c r="B441" s="182"/>
      <c r="C441" s="182"/>
    </row>
    <row r="442" spans="2:3" ht="15">
      <c r="B442" s="182"/>
      <c r="C442" s="182"/>
    </row>
    <row r="443" spans="2:3" ht="15">
      <c r="B443" s="182"/>
      <c r="C443" s="182"/>
    </row>
    <row r="444" spans="2:3" ht="15">
      <c r="B444" s="182"/>
      <c r="C444" s="182"/>
    </row>
    <row r="445" spans="2:3" ht="15">
      <c r="B445" s="182"/>
      <c r="C445" s="182"/>
    </row>
    <row r="446" spans="2:3" ht="15">
      <c r="B446" s="182"/>
      <c r="C446" s="182"/>
    </row>
    <row r="447" spans="2:3" ht="15">
      <c r="B447" s="182"/>
      <c r="C447" s="182"/>
    </row>
    <row r="448" spans="2:3" ht="15">
      <c r="B448" s="182"/>
      <c r="C448" s="182"/>
    </row>
    <row r="449" spans="2:3" ht="15">
      <c r="B449" s="182"/>
      <c r="C449" s="182"/>
    </row>
    <row r="450" spans="2:3" ht="15">
      <c r="B450" s="182"/>
      <c r="C450" s="182"/>
    </row>
    <row r="451" spans="2:3" ht="15">
      <c r="B451" s="182"/>
      <c r="C451" s="182"/>
    </row>
    <row r="452" spans="2:3" ht="15">
      <c r="B452" s="182"/>
      <c r="C452" s="182"/>
    </row>
    <row r="453" spans="2:3" ht="15">
      <c r="B453" s="182"/>
      <c r="C453" s="182"/>
    </row>
    <row r="454" spans="2:3" ht="15">
      <c r="B454" s="182"/>
      <c r="C454" s="182"/>
    </row>
    <row r="455" spans="2:3" ht="15">
      <c r="B455" s="182"/>
      <c r="C455" s="182"/>
    </row>
    <row r="456" spans="2:3" ht="15">
      <c r="B456" s="182"/>
      <c r="C456" s="182"/>
    </row>
    <row r="457" spans="2:3" ht="15">
      <c r="B457" s="182"/>
      <c r="C457" s="182"/>
    </row>
    <row r="458" spans="2:3" ht="15">
      <c r="B458" s="182"/>
      <c r="C458" s="182"/>
    </row>
    <row r="459" spans="2:3" ht="15">
      <c r="B459" s="182"/>
      <c r="C459" s="182"/>
    </row>
    <row r="460" spans="2:3" ht="15">
      <c r="B460" s="182"/>
      <c r="C460" s="182"/>
    </row>
    <row r="461" spans="2:3" ht="15">
      <c r="B461" s="182"/>
      <c r="C461" s="182"/>
    </row>
    <row r="462" spans="2:3" ht="15">
      <c r="B462" s="182"/>
      <c r="C462" s="182"/>
    </row>
    <row r="463" spans="2:3" ht="15">
      <c r="B463" s="182"/>
      <c r="C463" s="182"/>
    </row>
    <row r="464" spans="2:3" ht="15">
      <c r="B464" s="182"/>
      <c r="C464" s="182"/>
    </row>
    <row r="465" spans="2:3" ht="15">
      <c r="B465" s="182"/>
      <c r="C465" s="182"/>
    </row>
    <row r="466" spans="2:3" ht="15">
      <c r="B466" s="182"/>
      <c r="C466" s="182"/>
    </row>
    <row r="467" spans="2:3" ht="15">
      <c r="B467" s="182"/>
      <c r="C467" s="182"/>
    </row>
    <row r="468" spans="2:3" ht="15">
      <c r="B468" s="182"/>
      <c r="C468" s="182"/>
    </row>
    <row r="469" spans="2:3" ht="15">
      <c r="B469" s="182"/>
      <c r="C469" s="182"/>
    </row>
    <row r="470" spans="2:3" ht="15">
      <c r="B470" s="182"/>
      <c r="C470" s="182"/>
    </row>
    <row r="471" spans="2:3" ht="15">
      <c r="B471" s="182"/>
      <c r="C471" s="182"/>
    </row>
    <row r="472" spans="2:3" ht="15">
      <c r="B472" s="182"/>
      <c r="C472" s="182"/>
    </row>
    <row r="473" spans="2:3" ht="15">
      <c r="B473" s="182"/>
      <c r="C473" s="182"/>
    </row>
    <row r="474" spans="2:3" ht="15">
      <c r="B474" s="182"/>
      <c r="C474" s="182"/>
    </row>
    <row r="475" spans="2:3" ht="15">
      <c r="B475" s="182"/>
      <c r="C475" s="182"/>
    </row>
    <row r="476" spans="2:3" ht="15">
      <c r="B476" s="182"/>
      <c r="C476" s="182"/>
    </row>
    <row r="477" spans="2:3" ht="15">
      <c r="B477" s="182"/>
      <c r="C477" s="182"/>
    </row>
    <row r="478" spans="2:3" ht="15">
      <c r="B478" s="182"/>
      <c r="C478" s="182"/>
    </row>
    <row r="479" spans="2:3" ht="15">
      <c r="B479" s="182"/>
      <c r="C479" s="182"/>
    </row>
    <row r="480" spans="2:3" ht="15">
      <c r="B480" s="182"/>
      <c r="C480" s="182"/>
    </row>
    <row r="481" spans="2:3" ht="15">
      <c r="B481" s="182"/>
      <c r="C481" s="182"/>
    </row>
    <row r="482" spans="2:3" ht="15">
      <c r="B482" s="182"/>
      <c r="C482" s="182"/>
    </row>
    <row r="483" spans="2:3" ht="15">
      <c r="B483" s="182"/>
      <c r="C483" s="182"/>
    </row>
    <row r="484" spans="2:3" ht="15">
      <c r="B484" s="182"/>
      <c r="C484" s="182"/>
    </row>
    <row r="485" spans="2:3" ht="15">
      <c r="B485" s="182"/>
      <c r="C485" s="182"/>
    </row>
    <row r="486" spans="2:3" ht="15">
      <c r="B486" s="182"/>
      <c r="C486" s="182"/>
    </row>
    <row r="487" spans="2:3" ht="15">
      <c r="B487" s="182"/>
      <c r="C487" s="182"/>
    </row>
    <row r="488" spans="2:3" ht="15">
      <c r="B488" s="182"/>
      <c r="C488" s="182"/>
    </row>
    <row r="489" spans="2:3" ht="15">
      <c r="B489" s="182"/>
      <c r="C489" s="182"/>
    </row>
    <row r="490" spans="2:3" ht="15">
      <c r="B490" s="182"/>
      <c r="C490" s="182"/>
    </row>
    <row r="491" spans="2:3" ht="15">
      <c r="B491" s="182"/>
      <c r="C491" s="182"/>
    </row>
    <row r="492" spans="2:3" ht="15">
      <c r="B492" s="182"/>
      <c r="C492" s="182"/>
    </row>
    <row r="493" spans="2:3" ht="15">
      <c r="B493" s="182"/>
      <c r="C493" s="182"/>
    </row>
    <row r="494" spans="2:3" ht="15">
      <c r="B494" s="182"/>
      <c r="C494" s="182"/>
    </row>
    <row r="495" spans="2:3" ht="15">
      <c r="B495" s="182"/>
      <c r="C495" s="182"/>
    </row>
    <row r="496" spans="2:3" ht="15">
      <c r="B496" s="182"/>
      <c r="C496" s="182"/>
    </row>
    <row r="497" spans="2:3" ht="15">
      <c r="B497" s="182"/>
      <c r="C497" s="182"/>
    </row>
    <row r="498" spans="2:3" ht="15">
      <c r="B498" s="182"/>
      <c r="C498" s="182"/>
    </row>
    <row r="499" spans="2:3" ht="15">
      <c r="B499" s="182"/>
      <c r="C499" s="182"/>
    </row>
    <row r="500" spans="2:3" ht="15">
      <c r="B500" s="182"/>
      <c r="C500" s="182"/>
    </row>
    <row r="501" spans="2:3" ht="15">
      <c r="B501" s="182"/>
      <c r="C501" s="182"/>
    </row>
    <row r="502" spans="2:3" ht="15">
      <c r="B502" s="182"/>
      <c r="C502" s="182"/>
    </row>
    <row r="503" spans="2:3" ht="15">
      <c r="B503" s="182"/>
      <c r="C503" s="182"/>
    </row>
    <row r="504" spans="2:3" ht="15">
      <c r="B504" s="182"/>
      <c r="C504" s="182"/>
    </row>
    <row r="505" spans="2:3" ht="15">
      <c r="B505" s="182"/>
      <c r="C505" s="182"/>
    </row>
    <row r="506" spans="2:3" ht="15">
      <c r="B506" s="182"/>
      <c r="C506" s="182"/>
    </row>
    <row r="507" spans="2:3" ht="15">
      <c r="B507" s="182"/>
      <c r="C507" s="182"/>
    </row>
    <row r="508" spans="2:3" ht="15">
      <c r="B508" s="182"/>
      <c r="C508" s="182"/>
    </row>
    <row r="509" spans="2:3" ht="15">
      <c r="B509" s="182"/>
      <c r="C509" s="182"/>
    </row>
    <row r="510" spans="2:3" ht="15">
      <c r="B510" s="182"/>
      <c r="C510" s="182"/>
    </row>
    <row r="511" spans="2:3" ht="15">
      <c r="B511" s="182"/>
      <c r="C511" s="182"/>
    </row>
    <row r="512" spans="2:3" ht="15">
      <c r="B512" s="182"/>
      <c r="C512" s="182"/>
    </row>
    <row r="513" spans="2:3" ht="15">
      <c r="B513" s="182"/>
      <c r="C513" s="182"/>
    </row>
    <row r="514" spans="2:3" ht="15">
      <c r="B514" s="182"/>
      <c r="C514" s="182"/>
    </row>
    <row r="515" spans="2:3" ht="15">
      <c r="B515" s="182"/>
      <c r="C515" s="182"/>
    </row>
    <row r="516" spans="2:3" ht="15">
      <c r="B516" s="182"/>
      <c r="C516" s="182"/>
    </row>
    <row r="517" spans="2:3" ht="15">
      <c r="B517" s="182"/>
      <c r="C517" s="182"/>
    </row>
    <row r="518" spans="2:3" ht="15">
      <c r="B518" s="182"/>
      <c r="C518" s="182"/>
    </row>
    <row r="519" spans="2:3" ht="15">
      <c r="B519" s="182"/>
      <c r="C519" s="182"/>
    </row>
    <row r="520" spans="2:3" ht="15">
      <c r="B520" s="182"/>
      <c r="C520" s="182"/>
    </row>
    <row r="521" spans="2:3" ht="15">
      <c r="B521" s="182"/>
      <c r="C521" s="182"/>
    </row>
    <row r="522" spans="2:3" ht="15">
      <c r="B522" s="182"/>
      <c r="C522" s="182"/>
    </row>
    <row r="523" spans="2:3" ht="15">
      <c r="B523" s="182"/>
      <c r="C523" s="182"/>
    </row>
    <row r="524" spans="2:3" ht="15">
      <c r="B524" s="182"/>
      <c r="C524" s="182"/>
    </row>
    <row r="525" spans="2:3" ht="15">
      <c r="B525" s="182"/>
      <c r="C525" s="182"/>
    </row>
    <row r="526" spans="2:3" ht="15">
      <c r="B526" s="182"/>
      <c r="C526" s="182"/>
    </row>
    <row r="527" spans="2:3" ht="15">
      <c r="B527" s="182"/>
      <c r="C527" s="182"/>
    </row>
    <row r="528" spans="2:3" ht="15">
      <c r="B528" s="182"/>
      <c r="C528" s="182"/>
    </row>
    <row r="529" spans="2:3" ht="15">
      <c r="B529" s="182"/>
      <c r="C529" s="182"/>
    </row>
    <row r="530" spans="2:3" ht="15">
      <c r="B530" s="182"/>
      <c r="C530" s="182"/>
    </row>
    <row r="531" spans="2:3" ht="15">
      <c r="B531" s="182"/>
      <c r="C531" s="182"/>
    </row>
    <row r="532" spans="2:3" ht="15">
      <c r="B532" s="182"/>
      <c r="C532" s="182"/>
    </row>
    <row r="533" spans="2:3" ht="15">
      <c r="B533" s="182"/>
      <c r="C533" s="182"/>
    </row>
    <row r="534" spans="2:3" ht="15">
      <c r="B534" s="182"/>
      <c r="C534" s="182"/>
    </row>
    <row r="535" spans="2:3" ht="15">
      <c r="B535" s="182"/>
      <c r="C535" s="182"/>
    </row>
    <row r="536" spans="2:3" ht="15">
      <c r="B536" s="182"/>
      <c r="C536" s="182"/>
    </row>
    <row r="537" spans="2:3" ht="15">
      <c r="B537" s="182"/>
      <c r="C537" s="182"/>
    </row>
    <row r="538" spans="2:3" ht="15">
      <c r="B538" s="182"/>
      <c r="C538" s="182"/>
    </row>
    <row r="539" spans="2:3" ht="15">
      <c r="B539" s="182"/>
      <c r="C539" s="182"/>
    </row>
    <row r="540" spans="2:3" ht="15">
      <c r="B540" s="182"/>
      <c r="C540" s="182"/>
    </row>
    <row r="541" spans="2:3" ht="15">
      <c r="B541" s="182"/>
      <c r="C541" s="182"/>
    </row>
    <row r="542" spans="2:3" ht="15">
      <c r="B542" s="182"/>
      <c r="C542" s="182"/>
    </row>
    <row r="543" spans="2:3" ht="15">
      <c r="B543" s="182"/>
      <c r="C543" s="182"/>
    </row>
    <row r="544" spans="2:3" ht="15">
      <c r="B544" s="182"/>
      <c r="C544" s="182"/>
    </row>
    <row r="545" spans="2:3" ht="15">
      <c r="B545" s="182"/>
      <c r="C545" s="182"/>
    </row>
    <row r="546" spans="2:3" ht="15">
      <c r="B546" s="182"/>
      <c r="C546" s="182"/>
    </row>
    <row r="547" spans="2:3" ht="15">
      <c r="B547" s="182"/>
      <c r="C547" s="182"/>
    </row>
    <row r="548" spans="2:3" ht="15">
      <c r="B548" s="182"/>
      <c r="C548" s="182"/>
    </row>
    <row r="549" spans="2:3" ht="15">
      <c r="B549" s="182"/>
      <c r="C549" s="182"/>
    </row>
  </sheetData>
  <sheetProtection/>
  <mergeCells count="6">
    <mergeCell ref="A2:E2"/>
    <mergeCell ref="A6:E6"/>
    <mergeCell ref="E41:F41"/>
    <mergeCell ref="A8:A10"/>
    <mergeCell ref="A4:E4"/>
    <mergeCell ref="A3:E3"/>
  </mergeCells>
  <printOptions horizontalCentered="1"/>
  <pageMargins left="0.3937007874015748" right="0.3937007874015748" top="0.5905511811023623" bottom="0.5905511811023623" header="0.5118110236220472" footer="0.5118110236220472"/>
  <pageSetup horizontalDpi="300" verticalDpi="300" orientation="landscape" scale="85" r:id="rId3"/>
  <rowBreaks count="1" manualBreakCount="1">
    <brk id="39" max="5" man="1"/>
  </rowBreaks>
  <legacyDrawing r:id="rId2"/>
</worksheet>
</file>

<file path=xl/worksheets/sheet10.xml><?xml version="1.0" encoding="utf-8"?>
<worksheet xmlns="http://schemas.openxmlformats.org/spreadsheetml/2006/main" xmlns:r="http://schemas.openxmlformats.org/officeDocument/2006/relationships">
  <sheetPr>
    <tabColor rgb="FFFF0000"/>
  </sheetPr>
  <dimension ref="A1:N249"/>
  <sheetViews>
    <sheetView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C14" sqref="C14"/>
    </sheetView>
  </sheetViews>
  <sheetFormatPr defaultColWidth="11.421875" defaultRowHeight="12.75" outlineLevelRow="2"/>
  <cols>
    <col min="1" max="1" width="41.28125" style="375" customWidth="1"/>
    <col min="2" max="2" width="17.8515625" style="375" customWidth="1"/>
    <col min="3" max="3" width="21.00390625" style="375" customWidth="1"/>
    <col min="4" max="4" width="21.8515625" style="375" customWidth="1"/>
    <col min="5" max="5" width="16.7109375" style="375" customWidth="1"/>
    <col min="6" max="6" width="19.00390625" style="375" customWidth="1"/>
    <col min="7" max="7" width="20.7109375" style="375" customWidth="1"/>
    <col min="8" max="8" width="18.00390625" style="375" customWidth="1"/>
    <col min="9" max="9" width="15.28125" style="375" customWidth="1"/>
    <col min="10" max="10" width="13.140625" style="375" customWidth="1"/>
    <col min="11" max="11" width="13.421875" style="375" customWidth="1"/>
    <col min="12" max="15" width="14.57421875" style="375" customWidth="1"/>
    <col min="16" max="16384" width="11.421875" style="375" customWidth="1"/>
  </cols>
  <sheetData>
    <row r="1" spans="1:9" ht="15" outlineLevel="1">
      <c r="A1" s="1313" t="s">
        <v>29</v>
      </c>
      <c r="B1" s="1313"/>
      <c r="C1" s="1313"/>
      <c r="D1" s="1313"/>
      <c r="E1" s="1313"/>
      <c r="F1" s="1313"/>
      <c r="G1" s="1313"/>
      <c r="H1" s="1313"/>
      <c r="I1" s="1313"/>
    </row>
    <row r="2" spans="1:9" ht="15" outlineLevel="1">
      <c r="A2" s="1313" t="s">
        <v>62</v>
      </c>
      <c r="B2" s="1313"/>
      <c r="C2" s="1313"/>
      <c r="D2" s="1313"/>
      <c r="E2" s="1313"/>
      <c r="F2" s="1313"/>
      <c r="G2" s="1313"/>
      <c r="H2" s="1313"/>
      <c r="I2" s="1313"/>
    </row>
    <row r="3" spans="1:9" ht="15" outlineLevel="1">
      <c r="A3" s="1313" t="s">
        <v>667</v>
      </c>
      <c r="B3" s="1313"/>
      <c r="C3" s="1313"/>
      <c r="D3" s="1313"/>
      <c r="E3" s="1313"/>
      <c r="F3" s="1313"/>
      <c r="G3" s="1313"/>
      <c r="H3" s="1313"/>
      <c r="I3" s="1313"/>
    </row>
    <row r="4" spans="1:9" ht="15" outlineLevel="1">
      <c r="A4" s="1313" t="s">
        <v>550</v>
      </c>
      <c r="B4" s="1313"/>
      <c r="C4" s="1313"/>
      <c r="D4" s="1313"/>
      <c r="E4" s="1313"/>
      <c r="F4" s="1313"/>
      <c r="G4" s="1313"/>
      <c r="H4" s="1313"/>
      <c r="I4" s="1313"/>
    </row>
    <row r="5" spans="1:10" ht="15.75" outlineLevel="1" thickBot="1">
      <c r="A5" s="863"/>
      <c r="B5" s="864"/>
      <c r="C5" s="865"/>
      <c r="D5" s="864"/>
      <c r="E5" s="864"/>
      <c r="F5" s="864"/>
      <c r="G5" s="864"/>
      <c r="J5" s="377"/>
    </row>
    <row r="6" spans="1:11" ht="45.75" thickTop="1">
      <c r="A6" s="866" t="s">
        <v>40</v>
      </c>
      <c r="B6" s="867" t="s">
        <v>368</v>
      </c>
      <c r="C6" s="867" t="s">
        <v>369</v>
      </c>
      <c r="D6" s="867" t="s">
        <v>375</v>
      </c>
      <c r="E6" s="867" t="s">
        <v>370</v>
      </c>
      <c r="F6" s="867" t="s">
        <v>371</v>
      </c>
      <c r="G6" s="867" t="s">
        <v>20</v>
      </c>
      <c r="H6" s="867" t="s">
        <v>36</v>
      </c>
      <c r="I6" s="868" t="s">
        <v>372</v>
      </c>
      <c r="J6" s="377"/>
      <c r="K6" s="1144"/>
    </row>
    <row r="7" spans="1:10" ht="15">
      <c r="A7" s="407" t="s">
        <v>373</v>
      </c>
      <c r="B7" s="411"/>
      <c r="C7" s="411"/>
      <c r="D7" s="411"/>
      <c r="E7" s="411"/>
      <c r="F7" s="411"/>
      <c r="G7" s="411"/>
      <c r="H7" s="411"/>
      <c r="I7" s="553"/>
      <c r="J7" s="869"/>
    </row>
    <row r="8" spans="1:12" ht="15">
      <c r="A8" s="432" t="s">
        <v>357</v>
      </c>
      <c r="B8" s="420">
        <f>+B9+B10+B11+B12+B13+B15+B16+B17</f>
        <v>880208624.3019848</v>
      </c>
      <c r="C8" s="420">
        <f>+C9+C10+C11+C12+C13+C15+C16+C17</f>
        <v>262352153.8615889</v>
      </c>
      <c r="D8" s="420">
        <f>+D9+D10+D11+D12+D13+D15+D16+D17</f>
        <v>880558586.6226202</v>
      </c>
      <c r="E8" s="420">
        <f>+E9+E10+E11+E12+E13+E15+E16+E17</f>
        <v>260774021.34105727</v>
      </c>
      <c r="F8" s="420">
        <f>+B8+C8+D8+E8</f>
        <v>2283893386.127251</v>
      </c>
      <c r="G8" s="420">
        <f>+G9+G10+G11+G12+G13+G15+G16+G17</f>
        <v>167652978.93011293</v>
      </c>
      <c r="H8" s="420">
        <f>+F8+G8</f>
        <v>2451546365.057364</v>
      </c>
      <c r="I8" s="431">
        <f>+H8/$H$170</f>
        <v>0.1448102658245669</v>
      </c>
      <c r="J8" s="377"/>
      <c r="K8" s="870"/>
      <c r="L8" s="870"/>
    </row>
    <row r="9" spans="1:14" ht="14.25">
      <c r="A9" s="413" t="s">
        <v>376</v>
      </c>
      <c r="B9" s="414">
        <v>591477599.6944635</v>
      </c>
      <c r="C9" s="414">
        <f>+'Nómina y honorarios 2011'!K59</f>
        <v>187384721.81132334</v>
      </c>
      <c r="D9" s="414">
        <f>+'Nómina y honorarios 2011'!K69</f>
        <v>593728325.8733733</v>
      </c>
      <c r="E9" s="414">
        <f>+'Nómina y honorarios 2011'!K50</f>
        <v>186640823.46772337</v>
      </c>
      <c r="F9" s="414">
        <f aca="true" t="shared" si="0" ref="F9:F20">+B9+C9+D9+E9</f>
        <v>1559231470.8468835</v>
      </c>
      <c r="G9" s="414">
        <f>+'Nómina y honorarios 2011'!K12</f>
        <v>112872038.31019334</v>
      </c>
      <c r="H9" s="414">
        <f aca="true" t="shared" si="1" ref="H9:H19">+F9+G9</f>
        <v>1672103509.1570768</v>
      </c>
      <c r="I9" s="567">
        <f aca="true" t="shared" si="2" ref="I9:I19">+H9/$H$170</f>
        <v>0.09876939596105155</v>
      </c>
      <c r="J9" s="871"/>
      <c r="N9" s="872"/>
    </row>
    <row r="10" spans="1:14" ht="14.25">
      <c r="A10" s="413" t="s">
        <v>5</v>
      </c>
      <c r="B10" s="414">
        <v>43644725.90189999</v>
      </c>
      <c r="C10" s="414">
        <f>+'Nómina y honorarios 2011'!L59</f>
        <v>8780686.066499999</v>
      </c>
      <c r="D10" s="414">
        <f>+'Nómina y honorarios 2011'!L69</f>
        <v>42377504.089200005</v>
      </c>
      <c r="E10" s="414">
        <f>+'Nómina y honorarios 2011'!L50</f>
        <v>8547517.739699999</v>
      </c>
      <c r="F10" s="414">
        <f t="shared" si="0"/>
        <v>103350433.7973</v>
      </c>
      <c r="G10" s="414">
        <f>+'Nómina y honorarios 2011'!L12</f>
        <v>8705206.705</v>
      </c>
      <c r="H10" s="414">
        <f t="shared" si="1"/>
        <v>112055640.5023</v>
      </c>
      <c r="I10" s="567">
        <f t="shared" si="2"/>
        <v>0.006619008850726131</v>
      </c>
      <c r="J10" s="871"/>
      <c r="K10" s="871"/>
      <c r="L10" s="873"/>
      <c r="M10" s="874"/>
      <c r="N10" s="874"/>
    </row>
    <row r="11" spans="1:14" ht="14.25">
      <c r="A11" s="413" t="s">
        <v>6</v>
      </c>
      <c r="B11" s="414">
        <v>5237367.108228002</v>
      </c>
      <c r="C11" s="414">
        <f>+'Nómina y honorarios 2011'!M59</f>
        <v>1053682.32798</v>
      </c>
      <c r="D11" s="414">
        <f>+'Nómina y honorarios 2011'!M69</f>
        <v>5085300.490704001</v>
      </c>
      <c r="E11" s="414">
        <f>+'Nómina y honorarios 2011'!M50</f>
        <v>1025702.128764</v>
      </c>
      <c r="F11" s="414">
        <f t="shared" si="0"/>
        <v>12402052.055676002</v>
      </c>
      <c r="G11" s="414">
        <f>+'Nómina y honorarios 2011'!M12</f>
        <v>1044624.8045999999</v>
      </c>
      <c r="H11" s="414">
        <f t="shared" si="1"/>
        <v>13446676.860276002</v>
      </c>
      <c r="I11" s="567">
        <f t="shared" si="2"/>
        <v>0.000794281062087136</v>
      </c>
      <c r="J11" s="871"/>
      <c r="K11" s="871"/>
      <c r="L11" s="873"/>
      <c r="M11" s="874"/>
      <c r="N11" s="874"/>
    </row>
    <row r="12" spans="1:12" ht="14.25">
      <c r="A12" s="413" t="s">
        <v>1</v>
      </c>
      <c r="B12" s="414">
        <v>43644725.90189999</v>
      </c>
      <c r="C12" s="414">
        <f>+'Nómina y honorarios 2011'!N59</f>
        <v>8780686.066499999</v>
      </c>
      <c r="D12" s="414">
        <f>+'Nómina y honorarios 2011'!N69</f>
        <v>42377504.089200005</v>
      </c>
      <c r="E12" s="414">
        <f>+'Nómina y honorarios 2011'!N50</f>
        <v>8547517.739699999</v>
      </c>
      <c r="F12" s="414">
        <f t="shared" si="0"/>
        <v>103350433.7973</v>
      </c>
      <c r="G12" s="414">
        <f>+'Nómina y honorarios 2011'!N12</f>
        <v>8705206.705</v>
      </c>
      <c r="H12" s="414">
        <f t="shared" si="1"/>
        <v>112055640.5023</v>
      </c>
      <c r="I12" s="567">
        <f t="shared" si="2"/>
        <v>0.006619008850726131</v>
      </c>
      <c r="J12" s="871"/>
      <c r="K12" s="871"/>
      <c r="L12" s="873"/>
    </row>
    <row r="13" spans="1:12" ht="14.25">
      <c r="A13" s="413" t="s">
        <v>2</v>
      </c>
      <c r="B13" s="414">
        <v>25303762.95094999</v>
      </c>
      <c r="C13" s="414">
        <f>+'Nómina y honorarios 2011'!O59</f>
        <v>7871743.03325</v>
      </c>
      <c r="D13" s="414">
        <f>+'Nómina y honorarios 2011'!O69</f>
        <v>24670152.044600002</v>
      </c>
      <c r="E13" s="414">
        <f>+'Nómina y honorarios 2011'!O50</f>
        <v>7755158.86985</v>
      </c>
      <c r="F13" s="414">
        <f t="shared" si="0"/>
        <v>65600816.89865</v>
      </c>
      <c r="G13" s="414">
        <f>+'Nómina y honorarios 2011'!O12</f>
        <v>4352603.3525</v>
      </c>
      <c r="H13" s="414">
        <f t="shared" si="1"/>
        <v>69953420.25115</v>
      </c>
      <c r="I13" s="567">
        <f t="shared" si="2"/>
        <v>0.004132074973695079</v>
      </c>
      <c r="J13" s="871"/>
      <c r="K13" s="871"/>
      <c r="L13" s="873"/>
    </row>
    <row r="14" spans="1:12" ht="14.25">
      <c r="A14" s="413" t="s">
        <v>326</v>
      </c>
      <c r="B14" s="414"/>
      <c r="C14" s="414"/>
      <c r="D14" s="414"/>
      <c r="E14" s="414"/>
      <c r="F14" s="414">
        <f t="shared" si="0"/>
        <v>0</v>
      </c>
      <c r="G14" s="414">
        <v>20000000</v>
      </c>
      <c r="H14" s="414">
        <f t="shared" si="1"/>
        <v>20000000</v>
      </c>
      <c r="I14" s="567">
        <f t="shared" si="2"/>
        <v>0.0011813789687080095</v>
      </c>
      <c r="J14" s="871"/>
      <c r="K14" s="871"/>
      <c r="L14" s="873"/>
    </row>
    <row r="15" spans="1:12" ht="14.25">
      <c r="A15" s="413" t="s">
        <v>3</v>
      </c>
      <c r="B15" s="414">
        <v>120044534.09204145</v>
      </c>
      <c r="C15" s="414">
        <f>+'Nómina y honorarios 2011'!S59</f>
        <v>33947102.11301639</v>
      </c>
      <c r="D15" s="414">
        <f>+'Nómina y honorarios 2011'!S69</f>
        <v>121353100.82693924</v>
      </c>
      <c r="E15" s="414">
        <f>+'Nómina y honorarios 2011'!S50</f>
        <v>33790719.8032248</v>
      </c>
      <c r="F15" s="414">
        <f t="shared" si="0"/>
        <v>309135456.8352219</v>
      </c>
      <c r="G15" s="414">
        <f>+'Nómina y honorarios 2011'!S12</f>
        <v>22891534.204902176</v>
      </c>
      <c r="H15" s="414">
        <f t="shared" si="1"/>
        <v>332026991.04012406</v>
      </c>
      <c r="I15" s="567">
        <f>+H15/$H$170</f>
        <v>0.019612485212910265</v>
      </c>
      <c r="J15" s="871"/>
      <c r="K15" s="871"/>
      <c r="L15" s="873"/>
    </row>
    <row r="16" spans="1:12" ht="14.25">
      <c r="A16" s="413" t="s">
        <v>7</v>
      </c>
      <c r="B16" s="414">
        <v>22602626.067778535</v>
      </c>
      <c r="C16" s="414">
        <f>+'Nómina y honorarios 2011'!U59</f>
        <v>6459347.752452933</v>
      </c>
      <c r="D16" s="414">
        <f>+'Nómina y honorarios 2011'!U69</f>
        <v>22651866.31493493</v>
      </c>
      <c r="E16" s="414">
        <f>+'Nómina y honorarios 2011'!U50</f>
        <v>6429591.818708933</v>
      </c>
      <c r="F16" s="414">
        <f t="shared" si="0"/>
        <v>58143431.95387533</v>
      </c>
      <c r="G16" s="414">
        <f>+'Nómina y honorarios 2011'!U12</f>
        <v>4036339.9324077335</v>
      </c>
      <c r="H16" s="414">
        <f t="shared" si="1"/>
        <v>62179771.88628307</v>
      </c>
      <c r="I16" s="567">
        <f t="shared" si="2"/>
        <v>0.003672893739275819</v>
      </c>
      <c r="J16" s="871"/>
      <c r="K16" s="871"/>
      <c r="L16" s="873"/>
    </row>
    <row r="17" spans="1:12" ht="14.25">
      <c r="A17" s="413" t="s">
        <v>4</v>
      </c>
      <c r="B17" s="414">
        <v>28253282.584723167</v>
      </c>
      <c r="C17" s="414">
        <f>+'Nómina y honorarios 2011'!X59</f>
        <v>8074184.690566167</v>
      </c>
      <c r="D17" s="414">
        <f>+'Nómina y honorarios 2011'!X69</f>
        <v>28314832.893668674</v>
      </c>
      <c r="E17" s="414">
        <f>+'Nómina y honorarios 2011'!X50</f>
        <v>8036989.773386167</v>
      </c>
      <c r="F17" s="414">
        <f t="shared" si="0"/>
        <v>72679289.94234417</v>
      </c>
      <c r="G17" s="414">
        <f>+'Nómina y honorarios 2011'!X12</f>
        <v>5045424.915509667</v>
      </c>
      <c r="H17" s="414">
        <f t="shared" si="1"/>
        <v>77724714.85785384</v>
      </c>
      <c r="I17" s="567">
        <f t="shared" si="2"/>
        <v>0.004591117174094774</v>
      </c>
      <c r="J17" s="871"/>
      <c r="K17" s="871"/>
      <c r="L17" s="873"/>
    </row>
    <row r="18" spans="1:12" ht="14.25">
      <c r="A18" s="413" t="s">
        <v>374</v>
      </c>
      <c r="B18" s="414">
        <v>600000</v>
      </c>
      <c r="C18" s="414">
        <f>+'Nómina y honorarios 2011'!O95</f>
        <v>300000</v>
      </c>
      <c r="D18" s="414">
        <f>+'Nómina y honorarios 2011'!Q95</f>
        <v>900000</v>
      </c>
      <c r="E18" s="414">
        <f>+'Nómina y honorarios 2011'!M95</f>
        <v>300000</v>
      </c>
      <c r="F18" s="414">
        <f t="shared" si="0"/>
        <v>2100000</v>
      </c>
      <c r="G18" s="414">
        <f>+'Nómina y honorarios 2011'!I95</f>
        <v>900000</v>
      </c>
      <c r="H18" s="414">
        <f t="shared" si="1"/>
        <v>3000000</v>
      </c>
      <c r="I18" s="567">
        <f t="shared" si="2"/>
        <v>0.00017720684530620143</v>
      </c>
      <c r="J18" s="871"/>
      <c r="K18" s="871"/>
      <c r="L18" s="873"/>
    </row>
    <row r="19" spans="1:12" ht="14.25">
      <c r="A19" s="413" t="s">
        <v>31</v>
      </c>
      <c r="B19" s="415">
        <v>48166976</v>
      </c>
      <c r="C19" s="1016"/>
      <c r="D19" s="415"/>
      <c r="E19" s="415"/>
      <c r="F19" s="414">
        <f t="shared" si="0"/>
        <v>48166976</v>
      </c>
      <c r="G19" s="414">
        <f>+'Nómina y honorarios 2011'!I105</f>
        <v>73600000</v>
      </c>
      <c r="H19" s="414">
        <f t="shared" si="1"/>
        <v>121766976</v>
      </c>
      <c r="I19" s="567">
        <f t="shared" si="2"/>
        <v>0.007192647226478647</v>
      </c>
      <c r="J19" s="871"/>
      <c r="K19" s="875"/>
      <c r="L19" s="873"/>
    </row>
    <row r="20" spans="1:12" ht="15">
      <c r="A20" s="423" t="s">
        <v>363</v>
      </c>
      <c r="B20" s="412">
        <f>SUM(B9:B19)</f>
        <v>928975600.3019848</v>
      </c>
      <c r="C20" s="412">
        <f>SUM(C9:C19)</f>
        <v>262652153.8615889</v>
      </c>
      <c r="D20" s="412">
        <f>SUM(D9:D19)</f>
        <v>881458586.6226202</v>
      </c>
      <c r="E20" s="412">
        <f>SUM(E9:E19)</f>
        <v>261074021.34105727</v>
      </c>
      <c r="F20" s="412">
        <f t="shared" si="0"/>
        <v>2334160362.127251</v>
      </c>
      <c r="G20" s="412">
        <f>SUM(G9:G19)</f>
        <v>262152978.93011293</v>
      </c>
      <c r="H20" s="412">
        <f>SUM(H9:H19)</f>
        <v>2596313341.0573635</v>
      </c>
      <c r="I20" s="431">
        <f>+H20/$H$170</f>
        <v>0.15336149886505973</v>
      </c>
      <c r="J20" s="871"/>
      <c r="K20" s="871"/>
      <c r="L20" s="873"/>
    </row>
    <row r="21" spans="1:12" ht="15">
      <c r="A21" s="407" t="s">
        <v>32</v>
      </c>
      <c r="B21" s="411"/>
      <c r="C21" s="411"/>
      <c r="D21" s="411"/>
      <c r="E21" s="411"/>
      <c r="F21" s="414"/>
      <c r="G21" s="412"/>
      <c r="H21" s="414"/>
      <c r="I21" s="431"/>
      <c r="J21" s="871"/>
      <c r="K21" s="871"/>
      <c r="L21" s="873"/>
    </row>
    <row r="22" spans="1:12" ht="14.25">
      <c r="A22" s="416" t="s">
        <v>52</v>
      </c>
      <c r="B22" s="561">
        <f>+Funcionamiento!H8</f>
        <v>14260000</v>
      </c>
      <c r="C22" s="561">
        <f>+Funcionamiento!I8</f>
        <v>0</v>
      </c>
      <c r="D22" s="561">
        <f>+Funcionamiento!G8</f>
        <v>12000000</v>
      </c>
      <c r="E22" s="561">
        <f>+Funcionamiento!J8</f>
        <v>1500000</v>
      </c>
      <c r="F22" s="561">
        <f>+B22+C22+D22+E22</f>
        <v>27760000</v>
      </c>
      <c r="G22" s="414">
        <f>+Funcionamiento!F8</f>
        <v>66771061.416</v>
      </c>
      <c r="H22" s="414">
        <f>+G22+F22</f>
        <v>94531061.41600001</v>
      </c>
      <c r="I22" s="567">
        <f aca="true" t="shared" si="3" ref="I22:I37">+H22/$H$170</f>
        <v>0.00558385039232538</v>
      </c>
      <c r="K22" s="871"/>
      <c r="L22" s="873"/>
    </row>
    <row r="23" spans="1:12" ht="14.25">
      <c r="A23" s="416" t="s">
        <v>53</v>
      </c>
      <c r="B23" s="561">
        <v>0</v>
      </c>
      <c r="C23" s="561">
        <v>0</v>
      </c>
      <c r="D23" s="561">
        <v>0</v>
      </c>
      <c r="E23" s="561">
        <v>0</v>
      </c>
      <c r="F23" s="561">
        <v>0</v>
      </c>
      <c r="G23" s="414">
        <f>+Funcionamiento!F10</f>
        <v>6349081.800000001</v>
      </c>
      <c r="H23" s="414">
        <f aca="true" t="shared" si="4" ref="H23:H35">+F23+G23</f>
        <v>6349081.800000001</v>
      </c>
      <c r="I23" s="567">
        <f t="shared" si="3"/>
        <v>0.0003750335854563397</v>
      </c>
      <c r="J23" s="871"/>
      <c r="K23" s="871"/>
      <c r="L23" s="873"/>
    </row>
    <row r="24" spans="1:12" ht="14.25">
      <c r="A24" s="416" t="s">
        <v>54</v>
      </c>
      <c r="B24" s="561">
        <v>0</v>
      </c>
      <c r="C24" s="561">
        <v>0</v>
      </c>
      <c r="D24" s="561">
        <f>+Funcionamiento!G12</f>
        <v>4968000</v>
      </c>
      <c r="E24" s="561">
        <v>0</v>
      </c>
      <c r="F24" s="561">
        <f aca="true" t="shared" si="5" ref="F24:F35">+B24+C24+D24+E24</f>
        <v>4968000</v>
      </c>
      <c r="G24" s="414">
        <f>+Funcionamiento!F12</f>
        <v>17031700</v>
      </c>
      <c r="H24" s="414">
        <f t="shared" si="4"/>
        <v>21999700</v>
      </c>
      <c r="I24" s="567">
        <f t="shared" si="3"/>
        <v>0.00129949914489428</v>
      </c>
      <c r="J24" s="876"/>
      <c r="K24" s="876"/>
      <c r="L24" s="873"/>
    </row>
    <row r="25" spans="1:10" ht="14.25">
      <c r="A25" s="416" t="s">
        <v>33</v>
      </c>
      <c r="B25" s="561">
        <f>+Funcionamiento!H14</f>
        <v>6190200</v>
      </c>
      <c r="C25" s="561">
        <f>+Funcionamiento!I14</f>
        <v>6190200</v>
      </c>
      <c r="D25" s="561">
        <f>+Funcionamiento!G14</f>
        <v>6190200</v>
      </c>
      <c r="E25" s="561">
        <f>+Funcionamiento!J14</f>
        <v>6190200</v>
      </c>
      <c r="F25" s="414">
        <f t="shared" si="5"/>
        <v>24760800</v>
      </c>
      <c r="G25" s="414">
        <f>+Funcionamiento!F14</f>
        <v>22344266.2524</v>
      </c>
      <c r="H25" s="414">
        <f t="shared" si="4"/>
        <v>47105066.252399996</v>
      </c>
      <c r="I25" s="567">
        <f t="shared" si="3"/>
        <v>0.0027824467295091385</v>
      </c>
      <c r="J25" s="377"/>
    </row>
    <row r="26" spans="1:10" ht="14.25">
      <c r="A26" s="416" t="s">
        <v>55</v>
      </c>
      <c r="B26" s="414">
        <f>+Funcionamiento!H15+Funcionamiento!H16</f>
        <v>8986533.0921</v>
      </c>
      <c r="C26" s="414">
        <f>+Funcionamiento!I15+Funcionamiento!I16</f>
        <v>6232955.7114</v>
      </c>
      <c r="D26" s="414">
        <f>+Funcionamiento!G15+Funcionamiento!G16</f>
        <v>12121068.792900002</v>
      </c>
      <c r="E26" s="414">
        <f>+Funcionamiento!J15+Funcionamiento!J16</f>
        <v>8852015.919300001</v>
      </c>
      <c r="F26" s="414">
        <f t="shared" si="5"/>
        <v>36192573.5157</v>
      </c>
      <c r="G26" s="414">
        <f>+Funcionamiento!F16</f>
        <v>25582185.3362</v>
      </c>
      <c r="H26" s="414">
        <f t="shared" si="4"/>
        <v>61774758.8519</v>
      </c>
      <c r="I26" s="567">
        <f t="shared" si="3"/>
        <v>0.00364897004523218</v>
      </c>
      <c r="J26" s="377"/>
    </row>
    <row r="27" spans="1:10" ht="14.25">
      <c r="A27" s="416" t="s">
        <v>34</v>
      </c>
      <c r="B27" s="561">
        <f>+Funcionamiento!H18</f>
        <v>2500000</v>
      </c>
      <c r="C27" s="561">
        <v>0</v>
      </c>
      <c r="D27" s="561">
        <f>+Funcionamiento!G18</f>
        <v>4800000</v>
      </c>
      <c r="E27" s="561">
        <v>0</v>
      </c>
      <c r="F27" s="414">
        <f t="shared" si="5"/>
        <v>7300000</v>
      </c>
      <c r="G27" s="414">
        <f>+Funcionamiento!F18</f>
        <v>40360252.5648</v>
      </c>
      <c r="H27" s="414">
        <f t="shared" si="4"/>
        <v>47660252.5648</v>
      </c>
      <c r="I27" s="567">
        <f t="shared" si="3"/>
        <v>0.0028152410011683345</v>
      </c>
      <c r="J27" s="377"/>
    </row>
    <row r="28" spans="1:10" ht="14.25">
      <c r="A28" s="416" t="s">
        <v>387</v>
      </c>
      <c r="B28" s="414">
        <f>Funcionamiento!H20</f>
        <v>11000000</v>
      </c>
      <c r="C28" s="414">
        <f>Funcionamiento!I20</f>
        <v>15000000</v>
      </c>
      <c r="D28" s="414">
        <f>+Funcionamiento!G20</f>
        <v>175176000</v>
      </c>
      <c r="E28" s="561">
        <f>+Funcionamiento!J20</f>
        <v>15000000</v>
      </c>
      <c r="F28" s="414">
        <f t="shared" si="5"/>
        <v>216176000</v>
      </c>
      <c r="G28" s="414">
        <f>+Funcionamiento!F20</f>
        <v>18000000</v>
      </c>
      <c r="H28" s="414">
        <f t="shared" si="4"/>
        <v>234176000</v>
      </c>
      <c r="I28" s="567">
        <f t="shared" si="3"/>
        <v>0.013832530068808342</v>
      </c>
      <c r="J28" s="377"/>
    </row>
    <row r="29" spans="1:10" ht="14.25">
      <c r="A29" s="416" t="s">
        <v>297</v>
      </c>
      <c r="B29" s="414">
        <f>+Funcionamiento!H22</f>
        <v>24308078</v>
      </c>
      <c r="C29" s="561">
        <f>+Funcionamiento!I22</f>
        <v>0</v>
      </c>
      <c r="D29" s="414">
        <f>+Funcionamiento!G22</f>
        <v>12000000</v>
      </c>
      <c r="E29" s="561">
        <v>0</v>
      </c>
      <c r="F29" s="414">
        <f t="shared" si="5"/>
        <v>36308078</v>
      </c>
      <c r="G29" s="414">
        <f>+Funcionamiento!F22</f>
        <v>9726867.6</v>
      </c>
      <c r="H29" s="414">
        <f t="shared" si="4"/>
        <v>46034945.6</v>
      </c>
      <c r="I29" s="567">
        <f t="shared" si="3"/>
        <v>0.002719235827872866</v>
      </c>
      <c r="J29" s="377"/>
    </row>
    <row r="30" spans="1:10" ht="14.25">
      <c r="A30" s="416" t="s">
        <v>35</v>
      </c>
      <c r="B30" s="414">
        <f>+Funcionamiento!H24</f>
        <v>45687646</v>
      </c>
      <c r="C30" s="561">
        <f>+Funcionamiento!I24</f>
        <v>6000000</v>
      </c>
      <c r="D30" s="561">
        <f>+Funcionamiento!G24</f>
        <v>42000000</v>
      </c>
      <c r="E30" s="561">
        <f>+Funcionamiento!J24</f>
        <v>10000000</v>
      </c>
      <c r="F30" s="414">
        <f t="shared" si="5"/>
        <v>103687646</v>
      </c>
      <c r="G30" s="414">
        <f>+Funcionamiento!F24</f>
        <v>30000000</v>
      </c>
      <c r="H30" s="414">
        <f t="shared" si="4"/>
        <v>133687646</v>
      </c>
      <c r="I30" s="567">
        <f t="shared" si="3"/>
        <v>0.007896788668024072</v>
      </c>
      <c r="J30" s="377"/>
    </row>
    <row r="31" spans="1:10" ht="14.25">
      <c r="A31" s="416" t="s">
        <v>51</v>
      </c>
      <c r="B31" s="411"/>
      <c r="C31" s="561">
        <v>0</v>
      </c>
      <c r="D31" s="561">
        <f>+Funcionamiento!G26</f>
        <v>1560000</v>
      </c>
      <c r="E31" s="561">
        <v>0</v>
      </c>
      <c r="F31" s="414">
        <f t="shared" si="5"/>
        <v>1560000</v>
      </c>
      <c r="G31" s="414">
        <f>+Funcionamiento!F26</f>
        <v>3095100</v>
      </c>
      <c r="H31" s="414">
        <f t="shared" si="4"/>
        <v>4655100</v>
      </c>
      <c r="I31" s="567">
        <f t="shared" si="3"/>
        <v>0.00027497186186163273</v>
      </c>
      <c r="J31" s="377"/>
    </row>
    <row r="32" spans="1:10" ht="14.25">
      <c r="A32" s="416" t="s">
        <v>57</v>
      </c>
      <c r="B32" s="561">
        <f>+Funcionamiento!H28</f>
        <v>15000000</v>
      </c>
      <c r="C32" s="561">
        <f>Funcionamiento!I28</f>
        <v>0</v>
      </c>
      <c r="D32" s="561">
        <f>+Funcionamiento!G28</f>
        <v>29505410.802360002</v>
      </c>
      <c r="E32" s="561">
        <v>0</v>
      </c>
      <c r="F32" s="414">
        <f t="shared" si="5"/>
        <v>44505410.80236</v>
      </c>
      <c r="G32" s="414">
        <f>+Funcionamiento!F28</f>
        <v>25000000</v>
      </c>
      <c r="H32" s="414">
        <f t="shared" si="4"/>
        <v>69505410.80236</v>
      </c>
      <c r="I32" s="567">
        <f t="shared" si="3"/>
        <v>0.00410561152666593</v>
      </c>
      <c r="J32" s="377"/>
    </row>
    <row r="33" spans="1:10" ht="14.25">
      <c r="A33" s="416" t="s">
        <v>58</v>
      </c>
      <c r="B33" s="561">
        <v>0</v>
      </c>
      <c r="C33" s="561">
        <v>0</v>
      </c>
      <c r="D33" s="561">
        <v>0</v>
      </c>
      <c r="E33" s="561">
        <v>0</v>
      </c>
      <c r="F33" s="414">
        <f t="shared" si="5"/>
        <v>0</v>
      </c>
      <c r="G33" s="414">
        <f>+Funcionamiento!F30</f>
        <v>18570600</v>
      </c>
      <c r="H33" s="414">
        <f t="shared" si="4"/>
        <v>18570600</v>
      </c>
      <c r="I33" s="567">
        <f t="shared" si="3"/>
        <v>0.0010969458138144481</v>
      </c>
      <c r="J33" s="377"/>
    </row>
    <row r="34" spans="1:10" ht="14.25">
      <c r="A34" s="416" t="s">
        <v>59</v>
      </c>
      <c r="B34" s="561">
        <v>0</v>
      </c>
      <c r="C34" s="561">
        <v>0</v>
      </c>
      <c r="D34" s="561">
        <f>+Funcionamiento!G32</f>
        <v>25000000</v>
      </c>
      <c r="E34" s="561">
        <v>0</v>
      </c>
      <c r="F34" s="414">
        <f t="shared" si="5"/>
        <v>25000000</v>
      </c>
      <c r="G34" s="414">
        <f>+Funcionamiento!F32</f>
        <v>55000000</v>
      </c>
      <c r="H34" s="414">
        <f t="shared" si="4"/>
        <v>80000000</v>
      </c>
      <c r="I34" s="567">
        <f t="shared" si="3"/>
        <v>0.004725515874832038</v>
      </c>
      <c r="J34" s="377"/>
    </row>
    <row r="35" spans="1:10" ht="14.25">
      <c r="A35" s="416" t="s">
        <v>60</v>
      </c>
      <c r="B35" s="561">
        <v>0</v>
      </c>
      <c r="C35" s="561">
        <v>0</v>
      </c>
      <c r="D35" s="561">
        <v>0</v>
      </c>
      <c r="E35" s="561">
        <v>0</v>
      </c>
      <c r="F35" s="414">
        <f t="shared" si="5"/>
        <v>0</v>
      </c>
      <c r="G35" s="414">
        <f>+Funcionamiento!F34</f>
        <v>31186455</v>
      </c>
      <c r="H35" s="414">
        <f t="shared" si="4"/>
        <v>31186455</v>
      </c>
      <c r="I35" s="567">
        <f t="shared" si="3"/>
        <v>0.0018421511022779374</v>
      </c>
      <c r="J35" s="377"/>
    </row>
    <row r="36" spans="1:11" ht="15">
      <c r="A36" s="423" t="s">
        <v>364</v>
      </c>
      <c r="B36" s="412">
        <f aca="true" t="shared" si="6" ref="B36:G36">SUM(B22:B35)</f>
        <v>127932457.0921</v>
      </c>
      <c r="C36" s="412">
        <f t="shared" si="6"/>
        <v>33423155.711400002</v>
      </c>
      <c r="D36" s="412">
        <f t="shared" si="6"/>
        <v>325320679.59525996</v>
      </c>
      <c r="E36" s="412">
        <f t="shared" si="6"/>
        <v>41542215.919300005</v>
      </c>
      <c r="F36" s="412">
        <f>SUM(F22:F35)</f>
        <v>528218508.31806</v>
      </c>
      <c r="G36" s="412">
        <f t="shared" si="6"/>
        <v>369017569.9694</v>
      </c>
      <c r="H36" s="412">
        <f>SUM(H21:H35)</f>
        <v>897236078.2874601</v>
      </c>
      <c r="I36" s="431">
        <f t="shared" si="3"/>
        <v>0.052998791642742925</v>
      </c>
      <c r="J36" s="887"/>
      <c r="K36" s="874"/>
    </row>
    <row r="37" spans="1:12" ht="15">
      <c r="A37" s="423" t="s">
        <v>365</v>
      </c>
      <c r="B37" s="412">
        <f aca="true" t="shared" si="7" ref="B37:H37">+B36+B20</f>
        <v>1056908057.3940848</v>
      </c>
      <c r="C37" s="412">
        <f t="shared" si="7"/>
        <v>296075309.57298887</v>
      </c>
      <c r="D37" s="412">
        <f t="shared" si="7"/>
        <v>1206779266.2178802</v>
      </c>
      <c r="E37" s="412">
        <f t="shared" si="7"/>
        <v>302616237.26035726</v>
      </c>
      <c r="F37" s="412">
        <f t="shared" si="7"/>
        <v>2862378870.445311</v>
      </c>
      <c r="G37" s="412">
        <f t="shared" si="7"/>
        <v>631170548.8995129</v>
      </c>
      <c r="H37" s="412">
        <f t="shared" si="7"/>
        <v>3493549419.344824</v>
      </c>
      <c r="I37" s="431">
        <f t="shared" si="3"/>
        <v>0.20636029050780266</v>
      </c>
      <c r="J37" s="887"/>
      <c r="K37" s="874"/>
      <c r="L37" s="552"/>
    </row>
    <row r="38" spans="1:11" ht="15">
      <c r="A38" s="416"/>
      <c r="B38" s="411"/>
      <c r="C38" s="411"/>
      <c r="D38" s="411"/>
      <c r="E38" s="411"/>
      <c r="F38" s="411"/>
      <c r="G38" s="411"/>
      <c r="H38" s="411"/>
      <c r="I38" s="431"/>
      <c r="J38" s="1143"/>
      <c r="K38" s="874"/>
    </row>
    <row r="39" spans="1:11" ht="15">
      <c r="A39" s="423" t="s">
        <v>21</v>
      </c>
      <c r="B39" s="412">
        <f>+B41</f>
        <v>2260118760.2308483</v>
      </c>
      <c r="C39" s="412">
        <f>+C41+C68+C107+C134+C162+C166+C164</f>
        <v>2484904667</v>
      </c>
      <c r="D39" s="412">
        <f>+D41+D68+D107+D134+D162+D166</f>
        <v>4625165946.33424</v>
      </c>
      <c r="E39" s="412">
        <f>+E41+E68+E107+E134+E162+E166</f>
        <v>2419905480.5964</v>
      </c>
      <c r="F39" s="412">
        <f>+B39+C39+D39+E39</f>
        <v>11790094854.161488</v>
      </c>
      <c r="G39" s="412">
        <v>0</v>
      </c>
      <c r="H39" s="412">
        <f>+G39+F39</f>
        <v>11790094854.161488</v>
      </c>
      <c r="I39" s="431">
        <f>+H39/$H$170</f>
        <v>0.6964285049889454</v>
      </c>
      <c r="J39" s="878"/>
      <c r="K39" s="874"/>
    </row>
    <row r="40" spans="1:11" ht="15">
      <c r="A40" s="416"/>
      <c r="B40" s="411"/>
      <c r="C40" s="411"/>
      <c r="D40" s="411"/>
      <c r="E40" s="411"/>
      <c r="F40" s="414"/>
      <c r="G40" s="411"/>
      <c r="H40" s="411"/>
      <c r="I40" s="431"/>
      <c r="J40" s="377"/>
      <c r="K40" s="874"/>
    </row>
    <row r="41" spans="1:11" ht="15">
      <c r="A41" s="407" t="s">
        <v>9</v>
      </c>
      <c r="B41" s="424">
        <f>+B42+B52+B58+B62</f>
        <v>2260118760.2308483</v>
      </c>
      <c r="C41" s="412"/>
      <c r="D41" s="412"/>
      <c r="E41" s="418"/>
      <c r="F41" s="412">
        <f>+SUM(B41:E41)</f>
        <v>2260118760.2308483</v>
      </c>
      <c r="G41" s="418"/>
      <c r="H41" s="412">
        <f>+F41+G41</f>
        <v>2260118760.2308483</v>
      </c>
      <c r="I41" s="431">
        <f>+H41/$H$170</f>
        <v>0.13350283850595723</v>
      </c>
      <c r="J41" s="882"/>
      <c r="K41" s="874"/>
    </row>
    <row r="42" spans="1:11" s="880" customFormat="1" ht="15.75" customHeight="1">
      <c r="A42" s="417" t="s">
        <v>411</v>
      </c>
      <c r="B42" s="412">
        <f>+B43+B46+B49+B50+B51</f>
        <v>1738258330.9008482</v>
      </c>
      <c r="C42" s="418"/>
      <c r="D42" s="418"/>
      <c r="E42" s="418"/>
      <c r="F42" s="412">
        <f aca="true" t="shared" si="8" ref="F42:F66">+SUM(B42:E42)</f>
        <v>1738258330.9008482</v>
      </c>
      <c r="G42" s="418"/>
      <c r="H42" s="412">
        <f aca="true" t="shared" si="9" ref="H42:H66">+F42+G42</f>
        <v>1738258330.9008482</v>
      </c>
      <c r="I42" s="431">
        <f>+H42/$H$170</f>
        <v>0.1026770917153875</v>
      </c>
      <c r="J42" s="879"/>
      <c r="K42" s="874"/>
    </row>
    <row r="43" spans="1:11" s="880" customFormat="1" ht="15" customHeight="1" hidden="1" outlineLevel="1">
      <c r="A43" s="565" t="s">
        <v>632</v>
      </c>
      <c r="B43" s="420">
        <f>+B44+B45</f>
        <v>999785401.2294481</v>
      </c>
      <c r="C43" s="418"/>
      <c r="D43" s="551"/>
      <c r="E43" s="418"/>
      <c r="F43" s="564">
        <f t="shared" si="8"/>
        <v>999785401.2294481</v>
      </c>
      <c r="G43" s="418"/>
      <c r="H43" s="564">
        <f t="shared" si="9"/>
        <v>999785401.2294481</v>
      </c>
      <c r="I43" s="567">
        <f>+H43/$H$170</f>
        <v>0.059056272311688446</v>
      </c>
      <c r="J43" s="879"/>
      <c r="K43" s="874"/>
    </row>
    <row r="44" spans="1:11" s="880" customFormat="1" ht="15" customHeight="1" hidden="1" outlineLevel="2">
      <c r="A44" s="565" t="s">
        <v>564</v>
      </c>
      <c r="B44" s="564">
        <f>+'[22]Agregado'!$B$17</f>
        <v>659415239.0685585</v>
      </c>
      <c r="C44" s="418"/>
      <c r="D44" s="418"/>
      <c r="E44" s="418"/>
      <c r="F44" s="564">
        <f t="shared" si="8"/>
        <v>659415239.0685585</v>
      </c>
      <c r="G44" s="418"/>
      <c r="H44" s="564">
        <f t="shared" si="9"/>
        <v>659415239.0685585</v>
      </c>
      <c r="I44" s="567"/>
      <c r="J44" s="879"/>
      <c r="K44" s="874"/>
    </row>
    <row r="45" spans="1:11" s="880" customFormat="1" ht="15" customHeight="1" hidden="1" outlineLevel="2">
      <c r="A45" s="565" t="s">
        <v>641</v>
      </c>
      <c r="B45" s="564">
        <f>+'[22]Agregado'!$B$18</f>
        <v>340370162.16088957</v>
      </c>
      <c r="C45" s="418"/>
      <c r="D45" s="418"/>
      <c r="E45" s="418"/>
      <c r="F45" s="564">
        <f t="shared" si="8"/>
        <v>340370162.16088957</v>
      </c>
      <c r="G45" s="418"/>
      <c r="H45" s="564">
        <f t="shared" si="9"/>
        <v>340370162.16088957</v>
      </c>
      <c r="I45" s="567"/>
      <c r="J45" s="879"/>
      <c r="K45" s="874"/>
    </row>
    <row r="46" spans="1:11" s="880" customFormat="1" ht="15" customHeight="1" hidden="1" outlineLevel="1" collapsed="1">
      <c r="A46" s="565" t="s">
        <v>633</v>
      </c>
      <c r="B46" s="420">
        <f>+B47+B48</f>
        <v>554968172.8264</v>
      </c>
      <c r="C46" s="424">
        <f>+C47+C48</f>
        <v>0</v>
      </c>
      <c r="D46" s="935">
        <f>+D47+D48</f>
        <v>0</v>
      </c>
      <c r="E46" s="418"/>
      <c r="F46" s="564">
        <f>+SUM(B46:E46)</f>
        <v>554968172.8264</v>
      </c>
      <c r="G46" s="418"/>
      <c r="H46" s="564">
        <f t="shared" si="9"/>
        <v>554968172.8264</v>
      </c>
      <c r="I46" s="567"/>
      <c r="J46" s="879"/>
      <c r="K46" s="874"/>
    </row>
    <row r="47" spans="1:11" s="880" customFormat="1" ht="15" customHeight="1" hidden="1" outlineLevel="2">
      <c r="A47" s="565" t="s">
        <v>564</v>
      </c>
      <c r="B47" s="564">
        <f>+'[22]Agregado'!$B$20</f>
        <v>443974538.2611201</v>
      </c>
      <c r="C47" s="936"/>
      <c r="D47" s="937"/>
      <c r="E47" s="418"/>
      <c r="F47" s="564">
        <f t="shared" si="8"/>
        <v>443974538.2611201</v>
      </c>
      <c r="G47" s="418"/>
      <c r="H47" s="564">
        <f t="shared" si="9"/>
        <v>443974538.2611201</v>
      </c>
      <c r="I47" s="567"/>
      <c r="J47" s="879"/>
      <c r="K47" s="874"/>
    </row>
    <row r="48" spans="1:11" s="880" customFormat="1" ht="15" customHeight="1" hidden="1" outlineLevel="2">
      <c r="A48" s="565" t="s">
        <v>755</v>
      </c>
      <c r="B48" s="564">
        <f>+'[22]Agregado'!$B$21</f>
        <v>110993634.56528002</v>
      </c>
      <c r="C48" s="936"/>
      <c r="D48" s="938"/>
      <c r="E48" s="418"/>
      <c r="F48" s="564">
        <f t="shared" si="8"/>
        <v>110993634.56528002</v>
      </c>
      <c r="G48" s="418"/>
      <c r="H48" s="564">
        <f t="shared" si="9"/>
        <v>110993634.56528002</v>
      </c>
      <c r="I48" s="567"/>
      <c r="J48" s="879"/>
      <c r="K48" s="874"/>
    </row>
    <row r="49" spans="1:11" s="880" customFormat="1" ht="15" customHeight="1" hidden="1" outlineLevel="1" collapsed="1">
      <c r="A49" s="503" t="s">
        <v>426</v>
      </c>
      <c r="B49" s="414">
        <f>+'[22]Agregado'!$B$22</f>
        <v>20314190</v>
      </c>
      <c r="C49" s="418"/>
      <c r="D49" s="418"/>
      <c r="E49" s="418"/>
      <c r="F49" s="415">
        <f t="shared" si="8"/>
        <v>20314190</v>
      </c>
      <c r="G49" s="418"/>
      <c r="H49" s="415">
        <f t="shared" si="9"/>
        <v>20314190</v>
      </c>
      <c r="I49" s="567">
        <f aca="true" t="shared" si="10" ref="I49:I55">+H49/$H$170</f>
        <v>0.001199937841616928</v>
      </c>
      <c r="J49" s="879"/>
      <c r="K49" s="874"/>
    </row>
    <row r="50" spans="1:11" s="880" customFormat="1" ht="15" customHeight="1" hidden="1" outlineLevel="1">
      <c r="A50" s="503" t="s">
        <v>427</v>
      </c>
      <c r="B50" s="414">
        <f>+'[22]Agregado'!$B$23</f>
        <v>121690566.845</v>
      </c>
      <c r="C50" s="412"/>
      <c r="D50" s="418"/>
      <c r="E50" s="418"/>
      <c r="F50" s="415">
        <f t="shared" si="8"/>
        <v>121690566.845</v>
      </c>
      <c r="G50" s="418"/>
      <c r="H50" s="415">
        <f t="shared" si="9"/>
        <v>121690566.845</v>
      </c>
      <c r="I50" s="567">
        <f t="shared" si="10"/>
        <v>0.00718813381804196</v>
      </c>
      <c r="J50" s="879"/>
      <c r="K50" s="874"/>
    </row>
    <row r="51" spans="1:11" s="880" customFormat="1" ht="15" customHeight="1" hidden="1" outlineLevel="1">
      <c r="A51" s="503" t="s">
        <v>428</v>
      </c>
      <c r="B51" s="415">
        <f>+'[22]Agregado'!$B$24</f>
        <v>41500000</v>
      </c>
      <c r="C51" s="418"/>
      <c r="D51" s="418"/>
      <c r="E51" s="418"/>
      <c r="F51" s="415">
        <f t="shared" si="8"/>
        <v>41500000</v>
      </c>
      <c r="G51" s="418"/>
      <c r="H51" s="415">
        <f t="shared" si="9"/>
        <v>41500000</v>
      </c>
      <c r="I51" s="567">
        <f t="shared" si="10"/>
        <v>0.00245136136006912</v>
      </c>
      <c r="J51" s="879"/>
      <c r="K51" s="874"/>
    </row>
    <row r="52" spans="1:11" s="880" customFormat="1" ht="15" collapsed="1">
      <c r="A52" s="417" t="s">
        <v>10</v>
      </c>
      <c r="B52" s="412">
        <f>+B53+B54+B55+B56</f>
        <v>106635767.4</v>
      </c>
      <c r="C52" s="418"/>
      <c r="D52" s="418"/>
      <c r="E52" s="418"/>
      <c r="F52" s="412">
        <f t="shared" si="8"/>
        <v>106635767.4</v>
      </c>
      <c r="G52" s="418"/>
      <c r="H52" s="412">
        <f t="shared" si="9"/>
        <v>106635767.4</v>
      </c>
      <c r="I52" s="431">
        <f t="shared" si="10"/>
        <v>0.00629886264591996</v>
      </c>
      <c r="J52" s="879"/>
      <c r="K52" s="874"/>
    </row>
    <row r="53" spans="1:11" s="880" customFormat="1" ht="15" customHeight="1" hidden="1" outlineLevel="2">
      <c r="A53" s="503" t="s">
        <v>412</v>
      </c>
      <c r="B53" s="414">
        <f>+'[22]Agregado'!$B$26</f>
        <v>35349600</v>
      </c>
      <c r="C53" s="418"/>
      <c r="D53" s="418"/>
      <c r="E53" s="418"/>
      <c r="F53" s="414">
        <f t="shared" si="8"/>
        <v>35349600</v>
      </c>
      <c r="G53" s="418"/>
      <c r="H53" s="415">
        <f t="shared" si="9"/>
        <v>35349600</v>
      </c>
      <c r="I53" s="567">
        <f t="shared" si="10"/>
        <v>0.0020880636996120326</v>
      </c>
      <c r="J53" s="879"/>
      <c r="K53" s="874"/>
    </row>
    <row r="54" spans="1:11" s="880" customFormat="1" ht="15" customHeight="1" hidden="1" outlineLevel="2">
      <c r="A54" s="503" t="s">
        <v>413</v>
      </c>
      <c r="B54" s="414">
        <f>+'[22]Agregado'!$B$27</f>
        <v>15000000</v>
      </c>
      <c r="C54" s="418"/>
      <c r="D54" s="418"/>
      <c r="E54" s="418"/>
      <c r="F54" s="414">
        <f t="shared" si="8"/>
        <v>15000000</v>
      </c>
      <c r="G54" s="418"/>
      <c r="H54" s="415">
        <f t="shared" si="9"/>
        <v>15000000</v>
      </c>
      <c r="I54" s="567">
        <f t="shared" si="10"/>
        <v>0.0008860342265310071</v>
      </c>
      <c r="J54" s="879"/>
      <c r="K54" s="874"/>
    </row>
    <row r="55" spans="1:11" s="880" customFormat="1" ht="15" customHeight="1" hidden="1" outlineLevel="2">
      <c r="A55" s="560" t="s">
        <v>635</v>
      </c>
      <c r="B55" s="414">
        <f>+'[22]Agregado'!$B$28</f>
        <v>56286167.400000006</v>
      </c>
      <c r="C55" s="418"/>
      <c r="D55" s="418"/>
      <c r="E55" s="418"/>
      <c r="F55" s="414">
        <f t="shared" si="8"/>
        <v>56286167.400000006</v>
      </c>
      <c r="G55" s="418"/>
      <c r="H55" s="415">
        <f t="shared" si="9"/>
        <v>56286167.400000006</v>
      </c>
      <c r="I55" s="567">
        <f t="shared" si="10"/>
        <v>0.0033247647197769195</v>
      </c>
      <c r="J55" s="879"/>
      <c r="K55" s="874"/>
    </row>
    <row r="56" spans="1:11" s="880" customFormat="1" ht="15" customHeight="1" hidden="1" outlineLevel="2">
      <c r="A56" s="560" t="s">
        <v>751</v>
      </c>
      <c r="B56" s="414">
        <f>+'[22]Agregado'!$B$29</f>
        <v>0</v>
      </c>
      <c r="C56" s="418"/>
      <c r="D56" s="418"/>
      <c r="E56" s="418"/>
      <c r="F56" s="414"/>
      <c r="G56" s="418"/>
      <c r="H56" s="415"/>
      <c r="I56" s="567"/>
      <c r="J56" s="879"/>
      <c r="K56" s="874"/>
    </row>
    <row r="57" spans="1:11" s="880" customFormat="1" ht="15" customHeight="1" hidden="1" outlineLevel="2">
      <c r="A57" s="503"/>
      <c r="B57" s="414"/>
      <c r="C57" s="418"/>
      <c r="D57" s="418"/>
      <c r="E57" s="418"/>
      <c r="F57" s="414">
        <f t="shared" si="8"/>
        <v>0</v>
      </c>
      <c r="G57" s="418"/>
      <c r="H57" s="415">
        <f t="shared" si="9"/>
        <v>0</v>
      </c>
      <c r="I57" s="431">
        <f>+H57/$H$170</f>
        <v>0</v>
      </c>
      <c r="J57" s="879"/>
      <c r="K57" s="874"/>
    </row>
    <row r="58" spans="1:11" s="880" customFormat="1" ht="15" collapsed="1">
      <c r="A58" s="417" t="s">
        <v>219</v>
      </c>
      <c r="B58" s="412">
        <f>+B59+B60+B61</f>
        <v>184955619.13000003</v>
      </c>
      <c r="C58" s="550"/>
      <c r="D58" s="414"/>
      <c r="E58" s="412"/>
      <c r="F58" s="420">
        <f t="shared" si="8"/>
        <v>184955619.13000003</v>
      </c>
      <c r="G58" s="421"/>
      <c r="H58" s="420">
        <f t="shared" si="9"/>
        <v>184955619.13000003</v>
      </c>
      <c r="I58" s="431">
        <f>+H58/$H$170</f>
        <v>0.01092513392922754</v>
      </c>
      <c r="J58" s="879"/>
      <c r="K58" s="874"/>
    </row>
    <row r="59" spans="1:11" s="880" customFormat="1" ht="14.25" customHeight="1" hidden="1" outlineLevel="1">
      <c r="A59" s="419" t="s">
        <v>380</v>
      </c>
      <c r="B59" s="414">
        <f>+'[22]Agregado'!$B$32-3480103</f>
        <v>85157247.00000001</v>
      </c>
      <c r="C59" s="411"/>
      <c r="D59" s="411"/>
      <c r="E59" s="414"/>
      <c r="F59" s="414">
        <f t="shared" si="8"/>
        <v>85157247.00000001</v>
      </c>
      <c r="G59" s="411"/>
      <c r="H59" s="414">
        <f t="shared" si="9"/>
        <v>85157247.00000001</v>
      </c>
      <c r="I59" s="567">
        <f>+H59/$H$170</f>
        <v>0.005030149031943662</v>
      </c>
      <c r="J59" s="879"/>
      <c r="K59" s="874"/>
    </row>
    <row r="60" spans="1:11" s="880" customFormat="1" ht="14.25" customHeight="1" hidden="1" outlineLevel="1">
      <c r="A60" s="419" t="s">
        <v>429</v>
      </c>
      <c r="B60" s="414">
        <f>+'[22]Agregado'!$B$33-3450000</f>
        <v>31243269.130000003</v>
      </c>
      <c r="C60" s="411"/>
      <c r="D60" s="411"/>
      <c r="E60" s="414"/>
      <c r="F60" s="414">
        <f t="shared" si="8"/>
        <v>31243269.130000003</v>
      </c>
      <c r="G60" s="411"/>
      <c r="H60" s="414">
        <f t="shared" si="9"/>
        <v>31243269.130000003</v>
      </c>
      <c r="I60" s="567">
        <f>+H60/$H$170</f>
        <v>0.0018455070531933097</v>
      </c>
      <c r="J60" s="879"/>
      <c r="K60" s="874"/>
    </row>
    <row r="61" spans="1:11" s="880" customFormat="1" ht="14.25" customHeight="1" hidden="1" outlineLevel="1">
      <c r="A61" s="419" t="s">
        <v>752</v>
      </c>
      <c r="B61" s="414">
        <f>+'[22]Agregado'!$B$34+3480103+3450000</f>
        <v>68555103</v>
      </c>
      <c r="C61" s="411"/>
      <c r="D61" s="411"/>
      <c r="E61" s="414"/>
      <c r="F61" s="414">
        <f t="shared" si="8"/>
        <v>68555103</v>
      </c>
      <c r="G61" s="411"/>
      <c r="H61" s="414">
        <f t="shared" si="9"/>
        <v>68555103</v>
      </c>
      <c r="I61" s="567"/>
      <c r="J61" s="879"/>
      <c r="K61" s="874"/>
    </row>
    <row r="62" spans="1:11" s="880" customFormat="1" ht="15" collapsed="1">
      <c r="A62" s="417" t="s">
        <v>243</v>
      </c>
      <c r="B62" s="420">
        <f>+B63+B64+B65+B66</f>
        <v>230269042.8</v>
      </c>
      <c r="C62" s="421"/>
      <c r="D62" s="421"/>
      <c r="E62" s="421"/>
      <c r="F62" s="420">
        <f t="shared" si="8"/>
        <v>230269042.8</v>
      </c>
      <c r="G62" s="421"/>
      <c r="H62" s="420">
        <f t="shared" si="9"/>
        <v>230269042.8</v>
      </c>
      <c r="I62" s="431">
        <f>+H62/$H$170</f>
        <v>0.013601750215422226</v>
      </c>
      <c r="J62" s="881"/>
      <c r="K62" s="874"/>
    </row>
    <row r="63" spans="1:11" s="880" customFormat="1" ht="15" customHeight="1" hidden="1" outlineLevel="1">
      <c r="A63" s="419" t="s">
        <v>430</v>
      </c>
      <c r="B63" s="415">
        <f>+'[22]Agregado'!$B$36-622757</f>
        <v>107299885.80000001</v>
      </c>
      <c r="C63" s="421"/>
      <c r="D63" s="421"/>
      <c r="E63" s="421"/>
      <c r="F63" s="564">
        <f t="shared" si="8"/>
        <v>107299885.80000001</v>
      </c>
      <c r="G63" s="422"/>
      <c r="H63" s="564">
        <f t="shared" si="9"/>
        <v>107299885.80000001</v>
      </c>
      <c r="I63" s="567">
        <f>+H63/$H$170</f>
        <v>0.00633809142144456</v>
      </c>
      <c r="J63" s="879"/>
      <c r="K63" s="874"/>
    </row>
    <row r="64" spans="1:11" s="880" customFormat="1" ht="15" customHeight="1" hidden="1" outlineLevel="1">
      <c r="A64" s="419" t="s">
        <v>637</v>
      </c>
      <c r="B64" s="415">
        <f>+'[22]Agregado'!$B$37</f>
        <v>10507000</v>
      </c>
      <c r="C64" s="421"/>
      <c r="D64" s="421"/>
      <c r="E64" s="421"/>
      <c r="F64" s="564">
        <f t="shared" si="8"/>
        <v>10507000</v>
      </c>
      <c r="G64" s="422"/>
      <c r="H64" s="564">
        <f t="shared" si="9"/>
        <v>10507000</v>
      </c>
      <c r="I64" s="567">
        <f>+H64/$H$170</f>
        <v>0.0006206374412107528</v>
      </c>
      <c r="J64" s="879"/>
      <c r="K64" s="874"/>
    </row>
    <row r="65" spans="1:11" s="880" customFormat="1" ht="15" customHeight="1" hidden="1" outlineLevel="1">
      <c r="A65" s="605" t="s">
        <v>638</v>
      </c>
      <c r="B65" s="415">
        <f>+'[22]Agregado'!$B$38+622757</f>
        <v>29262157</v>
      </c>
      <c r="C65" s="421"/>
      <c r="D65" s="421"/>
      <c r="E65" s="421"/>
      <c r="F65" s="564">
        <f t="shared" si="8"/>
        <v>29262157</v>
      </c>
      <c r="G65" s="422"/>
      <c r="H65" s="564">
        <f t="shared" si="9"/>
        <v>29262157</v>
      </c>
      <c r="I65" s="567">
        <f>+H65/$H$170</f>
        <v>0.001728484842941593</v>
      </c>
      <c r="J65" s="879"/>
      <c r="K65" s="874"/>
    </row>
    <row r="66" spans="1:11" s="880" customFormat="1" ht="15" customHeight="1" hidden="1" outlineLevel="1">
      <c r="A66" s="566" t="s">
        <v>753</v>
      </c>
      <c r="B66" s="415">
        <f>+'[22]Agregado'!$B$39</f>
        <v>83200000</v>
      </c>
      <c r="C66" s="421"/>
      <c r="D66" s="421"/>
      <c r="E66" s="421"/>
      <c r="F66" s="564">
        <f t="shared" si="8"/>
        <v>83200000</v>
      </c>
      <c r="G66" s="422"/>
      <c r="H66" s="564">
        <f t="shared" si="9"/>
        <v>83200000</v>
      </c>
      <c r="I66" s="567">
        <f>+H66/$H$170</f>
        <v>0.00491453650982532</v>
      </c>
      <c r="J66" s="879"/>
      <c r="K66" s="874"/>
    </row>
    <row r="67" spans="1:11" s="880" customFormat="1" ht="15" collapsed="1">
      <c r="A67" s="419"/>
      <c r="B67" s="414"/>
      <c r="C67" s="418"/>
      <c r="D67" s="418"/>
      <c r="E67" s="551"/>
      <c r="F67" s="414"/>
      <c r="G67" s="418"/>
      <c r="H67" s="414"/>
      <c r="I67" s="431"/>
      <c r="J67" s="879"/>
      <c r="K67" s="874"/>
    </row>
    <row r="68" spans="1:11" ht="15">
      <c r="A68" s="407" t="s">
        <v>11</v>
      </c>
      <c r="B68" s="424"/>
      <c r="C68" s="414"/>
      <c r="D68" s="414"/>
      <c r="E68" s="420">
        <f>+E69+E75+E81+E88+E100+E104</f>
        <v>2419905480.5964</v>
      </c>
      <c r="F68" s="412">
        <f>+F69+F75+F81+F88+F100+F104</f>
        <v>2419905480.5964</v>
      </c>
      <c r="G68" s="411"/>
      <c r="H68" s="412">
        <f>+G68+F68</f>
        <v>2419905480.5964</v>
      </c>
      <c r="I68" s="431">
        <f aca="true" t="shared" si="11" ref="I68:I80">+H68/$H$170</f>
        <v>0.14294127205189175</v>
      </c>
      <c r="J68" s="882"/>
      <c r="K68" s="874"/>
    </row>
    <row r="69" spans="1:11" ht="15">
      <c r="A69" s="417" t="s">
        <v>415</v>
      </c>
      <c r="B69" s="424"/>
      <c r="C69" s="414"/>
      <c r="D69" s="414"/>
      <c r="E69" s="420">
        <f>+E70+E71+E72+E73+E74</f>
        <v>102018368.388</v>
      </c>
      <c r="F69" s="412">
        <f>+F70+F71+F72+F73+F74</f>
        <v>102018368.388</v>
      </c>
      <c r="G69" s="411"/>
      <c r="H69" s="412">
        <f>+H70+H71+H72+H73+H74</f>
        <v>102018368.388</v>
      </c>
      <c r="I69" s="431">
        <f t="shared" si="11"/>
        <v>0.006026117741774461</v>
      </c>
      <c r="J69" s="377"/>
      <c r="K69" s="874"/>
    </row>
    <row r="70" spans="1:11" ht="15" customHeight="1" hidden="1" outlineLevel="1">
      <c r="A70" s="1017" t="s">
        <v>416</v>
      </c>
      <c r="B70" s="424"/>
      <c r="C70" s="414"/>
      <c r="D70" s="414"/>
      <c r="E70" s="564">
        <f>+'[21]Version Final'!$G$6</f>
        <v>34507018.800000004</v>
      </c>
      <c r="F70" s="564">
        <f aca="true" t="shared" si="12" ref="F70:F105">+E70+D70+C70+B70</f>
        <v>34507018.800000004</v>
      </c>
      <c r="G70" s="411"/>
      <c r="H70" s="564">
        <f aca="true" t="shared" si="13" ref="H70:H105">+G70+F70</f>
        <v>34507018.800000004</v>
      </c>
      <c r="I70" s="567">
        <f t="shared" si="11"/>
        <v>0.002038293314156595</v>
      </c>
      <c r="J70" s="377"/>
      <c r="K70" s="874"/>
    </row>
    <row r="71" spans="1:11" ht="15" customHeight="1" hidden="1" outlineLevel="1">
      <c r="A71" s="1017" t="s">
        <v>417</v>
      </c>
      <c r="B71" s="424"/>
      <c r="C71" s="414"/>
      <c r="D71" s="414"/>
      <c r="E71" s="564">
        <f>+'[21]Version Final'!$G$7</f>
        <v>56758149.58799999</v>
      </c>
      <c r="F71" s="564">
        <f t="shared" si="12"/>
        <v>56758149.58799999</v>
      </c>
      <c r="G71" s="411"/>
      <c r="H71" s="564">
        <f t="shared" si="13"/>
        <v>56758149.58799999</v>
      </c>
      <c r="I71" s="567">
        <f t="shared" si="11"/>
        <v>0.003352644211302318</v>
      </c>
      <c r="J71" s="377"/>
      <c r="K71" s="874"/>
    </row>
    <row r="72" spans="1:11" ht="15" customHeight="1" hidden="1" outlineLevel="1">
      <c r="A72" s="1017" t="s">
        <v>606</v>
      </c>
      <c r="B72" s="424"/>
      <c r="C72" s="414"/>
      <c r="D72" s="414"/>
      <c r="E72" s="564">
        <f>+'[21]Version Final'!$G$8</f>
        <v>0</v>
      </c>
      <c r="F72" s="564">
        <f t="shared" si="12"/>
        <v>0</v>
      </c>
      <c r="G72" s="411"/>
      <c r="H72" s="564">
        <f t="shared" si="13"/>
        <v>0</v>
      </c>
      <c r="I72" s="567">
        <f t="shared" si="11"/>
        <v>0</v>
      </c>
      <c r="J72" s="377"/>
      <c r="K72" s="874"/>
    </row>
    <row r="73" spans="1:11" ht="15" customHeight="1" hidden="1" outlineLevel="1">
      <c r="A73" s="1017" t="s">
        <v>605</v>
      </c>
      <c r="B73" s="424"/>
      <c r="C73" s="414"/>
      <c r="D73" s="414"/>
      <c r="E73" s="564">
        <f>+'[21]Version Final'!$G$9</f>
        <v>10753200</v>
      </c>
      <c r="F73" s="564">
        <f t="shared" si="12"/>
        <v>10753200</v>
      </c>
      <c r="G73" s="411"/>
      <c r="H73" s="564">
        <f t="shared" si="13"/>
        <v>10753200</v>
      </c>
      <c r="I73" s="567">
        <f t="shared" si="11"/>
        <v>0.0006351802163155484</v>
      </c>
      <c r="J73" s="377"/>
      <c r="K73" s="874"/>
    </row>
    <row r="74" spans="1:11" ht="15" customHeight="1" hidden="1" outlineLevel="1">
      <c r="A74" s="1017" t="s">
        <v>738</v>
      </c>
      <c r="B74" s="424"/>
      <c r="C74" s="414"/>
      <c r="D74" s="414"/>
      <c r="E74" s="564">
        <f>+'[21]Version Final'!$G$10</f>
        <v>0</v>
      </c>
      <c r="F74" s="564">
        <f t="shared" si="12"/>
        <v>0</v>
      </c>
      <c r="G74" s="411"/>
      <c r="H74" s="564">
        <f t="shared" si="13"/>
        <v>0</v>
      </c>
      <c r="I74" s="567">
        <f t="shared" si="11"/>
        <v>0</v>
      </c>
      <c r="J74" s="377"/>
      <c r="K74" s="874"/>
    </row>
    <row r="75" spans="1:11" ht="17.25" customHeight="1" collapsed="1">
      <c r="A75" s="1018" t="s">
        <v>759</v>
      </c>
      <c r="B75" s="424"/>
      <c r="C75" s="414"/>
      <c r="D75" s="414"/>
      <c r="E75" s="420">
        <f>SUM(E76:E80)</f>
        <v>273410413</v>
      </c>
      <c r="F75" s="420">
        <f>SUM(F76:F80)</f>
        <v>273410413</v>
      </c>
      <c r="G75" s="411"/>
      <c r="H75" s="420">
        <f t="shared" si="13"/>
        <v>273410413</v>
      </c>
      <c r="I75" s="431">
        <f t="shared" si="11"/>
        <v>0.01615006558719855</v>
      </c>
      <c r="J75" s="377"/>
      <c r="K75" s="874"/>
    </row>
    <row r="76" spans="1:11" ht="15" customHeight="1" hidden="1" outlineLevel="1">
      <c r="A76" s="1017" t="s">
        <v>739</v>
      </c>
      <c r="B76" s="424"/>
      <c r="C76" s="414"/>
      <c r="D76" s="414"/>
      <c r="E76" s="564">
        <f>+'[21]Version Final'!$G$13</f>
        <v>65836620</v>
      </c>
      <c r="F76" s="564">
        <f t="shared" si="12"/>
        <v>65836620</v>
      </c>
      <c r="G76" s="411"/>
      <c r="H76" s="564">
        <f t="shared" si="13"/>
        <v>65836620</v>
      </c>
      <c r="I76" s="567">
        <f t="shared" si="11"/>
        <v>0.0038888999119410556</v>
      </c>
      <c r="J76" s="377"/>
      <c r="K76" s="874"/>
    </row>
    <row r="77" spans="1:11" ht="15" customHeight="1" hidden="1" outlineLevel="1">
      <c r="A77" s="1017" t="s">
        <v>608</v>
      </c>
      <c r="B77" s="424"/>
      <c r="C77" s="414"/>
      <c r="D77" s="414"/>
      <c r="E77" s="564">
        <f>+'[21]Version Final'!$G$14</f>
        <v>10000000</v>
      </c>
      <c r="F77" s="564">
        <f t="shared" si="12"/>
        <v>10000000</v>
      </c>
      <c r="G77" s="411"/>
      <c r="H77" s="564">
        <f t="shared" si="13"/>
        <v>10000000</v>
      </c>
      <c r="I77" s="567">
        <f t="shared" si="11"/>
        <v>0.0005906894843540047</v>
      </c>
      <c r="J77" s="377"/>
      <c r="K77" s="874"/>
    </row>
    <row r="78" spans="1:11" ht="15" customHeight="1" hidden="1" outlineLevel="1">
      <c r="A78" s="1017" t="s">
        <v>609</v>
      </c>
      <c r="B78" s="424"/>
      <c r="C78" s="414"/>
      <c r="D78" s="414"/>
      <c r="E78" s="564">
        <f>+'[21]Version Final'!$G$15</f>
        <v>10500000</v>
      </c>
      <c r="F78" s="564">
        <f t="shared" si="12"/>
        <v>10500000</v>
      </c>
      <c r="G78" s="411"/>
      <c r="H78" s="564">
        <f t="shared" si="13"/>
        <v>10500000</v>
      </c>
      <c r="I78" s="567">
        <f t="shared" si="11"/>
        <v>0.000620223958571705</v>
      </c>
      <c r="J78" s="377"/>
      <c r="K78" s="874"/>
    </row>
    <row r="79" spans="1:11" ht="15" customHeight="1" hidden="1" outlineLevel="1">
      <c r="A79" s="1017" t="s">
        <v>740</v>
      </c>
      <c r="B79" s="424"/>
      <c r="C79" s="414"/>
      <c r="D79" s="414"/>
      <c r="E79" s="564">
        <f>+'[21]Version Final'!$G$16</f>
        <v>15000000</v>
      </c>
      <c r="F79" s="564">
        <f t="shared" si="12"/>
        <v>15000000</v>
      </c>
      <c r="G79" s="411"/>
      <c r="H79" s="564">
        <f t="shared" si="13"/>
        <v>15000000</v>
      </c>
      <c r="I79" s="567">
        <f t="shared" si="11"/>
        <v>0.0008860342265310071</v>
      </c>
      <c r="J79" s="377"/>
      <c r="K79" s="874"/>
    </row>
    <row r="80" spans="1:11" s="429" customFormat="1" ht="14.25" customHeight="1" hidden="1" outlineLevel="1">
      <c r="A80" s="1017" t="s">
        <v>756</v>
      </c>
      <c r="B80" s="561"/>
      <c r="C80" s="414"/>
      <c r="D80" s="414"/>
      <c r="E80" s="564">
        <f>+'[21]Version Final'!$G$17</f>
        <v>172073793</v>
      </c>
      <c r="F80" s="564">
        <f t="shared" si="12"/>
        <v>172073793</v>
      </c>
      <c r="G80" s="411"/>
      <c r="H80" s="564">
        <f t="shared" si="13"/>
        <v>172073793</v>
      </c>
      <c r="I80" s="567">
        <f t="shared" si="11"/>
        <v>0.010164218005800776</v>
      </c>
      <c r="J80" s="377"/>
      <c r="K80" s="874"/>
    </row>
    <row r="81" spans="1:11" ht="15" collapsed="1">
      <c r="A81" s="1019" t="s">
        <v>626</v>
      </c>
      <c r="B81" s="424"/>
      <c r="C81" s="414"/>
      <c r="D81" s="414"/>
      <c r="E81" s="420">
        <f>SUM(E82:E87)</f>
        <v>422560367.85</v>
      </c>
      <c r="F81" s="412">
        <f>+F82+F83+F84+F86+F87+F85</f>
        <v>422560367.85</v>
      </c>
      <c r="G81" s="411"/>
      <c r="H81" s="412">
        <f>+H82+H83+H84+H86+H87+H85</f>
        <v>422560367.85</v>
      </c>
      <c r="I81" s="431">
        <f aca="true" t="shared" si="14" ref="I81:I98">+H81/$H$170</f>
        <v>0.024960196579375506</v>
      </c>
      <c r="J81" s="377"/>
      <c r="K81" s="874"/>
    </row>
    <row r="82" spans="1:11" ht="15" customHeight="1" hidden="1" outlineLevel="1">
      <c r="A82" s="1017" t="s">
        <v>613</v>
      </c>
      <c r="B82" s="424"/>
      <c r="C82" s="414"/>
      <c r="D82" s="414"/>
      <c r="E82" s="564">
        <f>+'[21]Version Final'!$G$23</f>
        <v>162766578</v>
      </c>
      <c r="F82" s="564">
        <f t="shared" si="12"/>
        <v>162766578</v>
      </c>
      <c r="G82" s="411"/>
      <c r="H82" s="564">
        <f t="shared" si="13"/>
        <v>162766578</v>
      </c>
      <c r="I82" s="567">
        <f t="shared" si="14"/>
        <v>0.00961445060288859</v>
      </c>
      <c r="J82" s="377"/>
      <c r="K82" s="874"/>
    </row>
    <row r="83" spans="1:11" ht="15" customHeight="1" hidden="1" outlineLevel="1">
      <c r="A83" s="1017" t="s">
        <v>614</v>
      </c>
      <c r="B83" s="424"/>
      <c r="C83" s="414"/>
      <c r="D83" s="414"/>
      <c r="E83" s="564">
        <f>+'[21]Version Final'!$G$26</f>
        <v>111062789.85</v>
      </c>
      <c r="F83" s="564">
        <f t="shared" si="12"/>
        <v>111062789.85</v>
      </c>
      <c r="G83" s="411"/>
      <c r="H83" s="564">
        <f t="shared" si="13"/>
        <v>111062789.85</v>
      </c>
      <c r="I83" s="567">
        <f t="shared" si="14"/>
        <v>0.006560362206741369</v>
      </c>
      <c r="J83" s="377"/>
      <c r="K83" s="874"/>
    </row>
    <row r="84" spans="1:11" ht="15" customHeight="1" hidden="1" outlineLevel="1">
      <c r="A84" s="1017" t="s">
        <v>757</v>
      </c>
      <c r="B84" s="424"/>
      <c r="C84" s="414"/>
      <c r="D84" s="414"/>
      <c r="E84" s="564">
        <f>+'[21]Version Final'!$G$29</f>
        <v>92481000</v>
      </c>
      <c r="F84" s="564">
        <f t="shared" si="12"/>
        <v>92481000</v>
      </c>
      <c r="G84" s="411"/>
      <c r="H84" s="564">
        <f t="shared" si="13"/>
        <v>92481000</v>
      </c>
      <c r="I84" s="567">
        <f t="shared" si="14"/>
        <v>0.005462755420254271</v>
      </c>
      <c r="J84" s="377"/>
      <c r="K84" s="874"/>
    </row>
    <row r="85" spans="1:11" ht="15" customHeight="1" hidden="1" outlineLevel="1">
      <c r="A85" s="1017" t="s">
        <v>857</v>
      </c>
      <c r="B85" s="424"/>
      <c r="C85" s="414"/>
      <c r="D85" s="414"/>
      <c r="E85" s="564">
        <f>+'[21]Version Final'!$G$37</f>
        <v>31000000</v>
      </c>
      <c r="F85" s="564">
        <f t="shared" si="12"/>
        <v>31000000</v>
      </c>
      <c r="G85" s="411"/>
      <c r="H85" s="564">
        <f t="shared" si="13"/>
        <v>31000000</v>
      </c>
      <c r="I85" s="567"/>
      <c r="J85" s="377"/>
      <c r="K85" s="874"/>
    </row>
    <row r="86" spans="1:11" ht="15" customHeight="1" hidden="1" outlineLevel="1">
      <c r="A86" s="1017" t="s">
        <v>612</v>
      </c>
      <c r="B86" s="424"/>
      <c r="C86" s="414"/>
      <c r="D86" s="414"/>
      <c r="E86" s="564">
        <f>+'[21]Version Final'!$G$38</f>
        <v>5250000</v>
      </c>
      <c r="F86" s="564">
        <f t="shared" si="12"/>
        <v>5250000</v>
      </c>
      <c r="G86" s="411"/>
      <c r="H86" s="564">
        <f t="shared" si="13"/>
        <v>5250000</v>
      </c>
      <c r="I86" s="567">
        <f t="shared" si="14"/>
        <v>0.0003101119792858525</v>
      </c>
      <c r="J86" s="377"/>
      <c r="K86" s="874"/>
    </row>
    <row r="87" spans="1:11" ht="15" customHeight="1" hidden="1" outlineLevel="1">
      <c r="A87" s="1017" t="s">
        <v>616</v>
      </c>
      <c r="B87" s="424"/>
      <c r="C87" s="414"/>
      <c r="D87" s="414"/>
      <c r="E87" s="564">
        <f>+'[21]Version Final'!$G$42</f>
        <v>20000000</v>
      </c>
      <c r="F87" s="564">
        <f t="shared" si="12"/>
        <v>20000000</v>
      </c>
      <c r="G87" s="411"/>
      <c r="H87" s="564">
        <f t="shared" si="13"/>
        <v>20000000</v>
      </c>
      <c r="I87" s="567">
        <f t="shared" si="14"/>
        <v>0.0011813789687080095</v>
      </c>
      <c r="J87" s="377"/>
      <c r="K87" s="874"/>
    </row>
    <row r="88" spans="1:11" ht="15" collapsed="1">
      <c r="A88" s="1018" t="s">
        <v>534</v>
      </c>
      <c r="B88" s="424"/>
      <c r="C88" s="414"/>
      <c r="D88" s="414"/>
      <c r="E88" s="420">
        <f>+E89+E90+E91+E92+E93+E94+E97+E98+E95+E96</f>
        <v>1170049200</v>
      </c>
      <c r="F88" s="412">
        <f>+F89+F90+F91+F92+F93+F94+F95+F96+F97+F98</f>
        <v>1170049200</v>
      </c>
      <c r="G88" s="411"/>
      <c r="H88" s="412">
        <f>+H89+H90+H91+H92+H93+H94+H95+H96+H97+H98</f>
        <v>1170049200</v>
      </c>
      <c r="I88" s="431">
        <f t="shared" si="14"/>
        <v>0.06911357586168158</v>
      </c>
      <c r="J88" s="377"/>
      <c r="K88" s="874"/>
    </row>
    <row r="89" spans="1:11" ht="15" customHeight="1" hidden="1" outlineLevel="1">
      <c r="A89" s="1020" t="s">
        <v>617</v>
      </c>
      <c r="B89" s="424"/>
      <c r="C89" s="414"/>
      <c r="D89" s="414"/>
      <c r="E89" s="564">
        <f>+'[21]Version Final'!$G$46</f>
        <v>100000000</v>
      </c>
      <c r="F89" s="564">
        <f t="shared" si="12"/>
        <v>100000000</v>
      </c>
      <c r="G89" s="411"/>
      <c r="H89" s="564">
        <f t="shared" si="13"/>
        <v>100000000</v>
      </c>
      <c r="I89" s="567">
        <f t="shared" si="14"/>
        <v>0.005906894843540047</v>
      </c>
      <c r="J89" s="377"/>
      <c r="K89" s="874"/>
    </row>
    <row r="90" spans="1:11" ht="15" customHeight="1" hidden="1" outlineLevel="1">
      <c r="A90" s="1020" t="s">
        <v>618</v>
      </c>
      <c r="B90" s="424"/>
      <c r="C90" s="414"/>
      <c r="D90" s="414"/>
      <c r="E90" s="564">
        <f>+'[21]Version Final'!$G$48</f>
        <v>900000000</v>
      </c>
      <c r="F90" s="564">
        <f t="shared" si="12"/>
        <v>900000000</v>
      </c>
      <c r="G90" s="411"/>
      <c r="H90" s="564">
        <f t="shared" si="13"/>
        <v>900000000</v>
      </c>
      <c r="I90" s="567">
        <f t="shared" si="14"/>
        <v>0.05316205359186043</v>
      </c>
      <c r="J90" s="377"/>
      <c r="K90" s="874"/>
    </row>
    <row r="91" spans="1:11" ht="15" customHeight="1" hidden="1" outlineLevel="1">
      <c r="A91" s="1017" t="s">
        <v>619</v>
      </c>
      <c r="B91" s="424"/>
      <c r="C91" s="414"/>
      <c r="D91" s="414"/>
      <c r="E91" s="564">
        <f>+'[21]Version Final'!$G$51</f>
        <v>0</v>
      </c>
      <c r="F91" s="564">
        <f t="shared" si="12"/>
        <v>0</v>
      </c>
      <c r="G91" s="411"/>
      <c r="H91" s="564">
        <f t="shared" si="13"/>
        <v>0</v>
      </c>
      <c r="I91" s="567">
        <f t="shared" si="14"/>
        <v>0</v>
      </c>
      <c r="J91" s="377"/>
      <c r="K91" s="874"/>
    </row>
    <row r="92" spans="1:11" ht="15" customHeight="1" hidden="1" outlineLevel="1">
      <c r="A92" s="1020" t="s">
        <v>620</v>
      </c>
      <c r="B92" s="424"/>
      <c r="C92" s="414"/>
      <c r="D92" s="414"/>
      <c r="E92" s="564">
        <f>+'[21]Version Final'!$G$52</f>
        <v>15000000</v>
      </c>
      <c r="F92" s="564">
        <f t="shared" si="12"/>
        <v>15000000</v>
      </c>
      <c r="G92" s="411"/>
      <c r="H92" s="564">
        <f t="shared" si="13"/>
        <v>15000000</v>
      </c>
      <c r="I92" s="567">
        <f t="shared" si="14"/>
        <v>0.0008860342265310071</v>
      </c>
      <c r="J92" s="377"/>
      <c r="K92" s="874"/>
    </row>
    <row r="93" spans="1:11" ht="15" customHeight="1" hidden="1" outlineLevel="1">
      <c r="A93" s="1017" t="s">
        <v>535</v>
      </c>
      <c r="B93" s="424"/>
      <c r="C93" s="414"/>
      <c r="D93" s="414"/>
      <c r="E93" s="564">
        <f>+'[21]Version Final'!$G$55</f>
        <v>43400000</v>
      </c>
      <c r="F93" s="564">
        <f t="shared" si="12"/>
        <v>43400000</v>
      </c>
      <c r="G93" s="411"/>
      <c r="H93" s="564">
        <f t="shared" si="13"/>
        <v>43400000</v>
      </c>
      <c r="I93" s="567">
        <f t="shared" si="14"/>
        <v>0.0025635923620963806</v>
      </c>
      <c r="J93" s="377"/>
      <c r="K93" s="874"/>
    </row>
    <row r="94" spans="1:11" ht="15" customHeight="1" hidden="1" outlineLevel="1">
      <c r="A94" s="1017" t="s">
        <v>621</v>
      </c>
      <c r="B94" s="424"/>
      <c r="C94" s="414"/>
      <c r="D94" s="414"/>
      <c r="E94" s="564">
        <f>+'[21]Version Final'!$G$61</f>
        <v>5000000</v>
      </c>
      <c r="F94" s="564">
        <f t="shared" si="12"/>
        <v>5000000</v>
      </c>
      <c r="G94" s="411"/>
      <c r="H94" s="564">
        <f t="shared" si="13"/>
        <v>5000000</v>
      </c>
      <c r="I94" s="567">
        <f t="shared" si="14"/>
        <v>0.0002953447421770024</v>
      </c>
      <c r="J94" s="377"/>
      <c r="K94" s="874"/>
    </row>
    <row r="95" spans="1:11" ht="15" customHeight="1" hidden="1" outlineLevel="1">
      <c r="A95" s="1017" t="s">
        <v>742</v>
      </c>
      <c r="B95" s="424"/>
      <c r="C95" s="414"/>
      <c r="D95" s="414"/>
      <c r="E95" s="564">
        <f>+'[21]Version Final'!$G$65</f>
        <v>15000000</v>
      </c>
      <c r="F95" s="564">
        <f t="shared" si="12"/>
        <v>15000000</v>
      </c>
      <c r="G95" s="411"/>
      <c r="H95" s="564">
        <f t="shared" si="13"/>
        <v>15000000</v>
      </c>
      <c r="I95" s="567">
        <f t="shared" si="14"/>
        <v>0.0008860342265310071</v>
      </c>
      <c r="J95" s="377"/>
      <c r="K95" s="874"/>
    </row>
    <row r="96" spans="1:11" ht="15" customHeight="1" hidden="1" outlineLevel="1">
      <c r="A96" s="1017" t="s">
        <v>622</v>
      </c>
      <c r="B96" s="424"/>
      <c r="C96" s="414"/>
      <c r="D96" s="414"/>
      <c r="E96" s="564">
        <f>+'[21]Version Final'!$G$69</f>
        <v>41649200</v>
      </c>
      <c r="F96" s="564">
        <f t="shared" si="12"/>
        <v>41649200</v>
      </c>
      <c r="G96" s="411"/>
      <c r="H96" s="564">
        <f t="shared" si="13"/>
        <v>41649200</v>
      </c>
      <c r="I96" s="567">
        <f t="shared" si="14"/>
        <v>0.0024601744471756813</v>
      </c>
      <c r="J96" s="377"/>
      <c r="K96" s="874"/>
    </row>
    <row r="97" spans="1:11" ht="15" customHeight="1" hidden="1" outlineLevel="1">
      <c r="A97" s="1017" t="s">
        <v>741</v>
      </c>
      <c r="B97" s="424"/>
      <c r="C97" s="414"/>
      <c r="D97" s="414"/>
      <c r="E97" s="564">
        <f>+'[21]Version Final'!$G$73</f>
        <v>0</v>
      </c>
      <c r="F97" s="564">
        <f t="shared" si="12"/>
        <v>0</v>
      </c>
      <c r="G97" s="411"/>
      <c r="H97" s="564">
        <f t="shared" si="13"/>
        <v>0</v>
      </c>
      <c r="I97" s="567">
        <f t="shared" si="14"/>
        <v>0</v>
      </c>
      <c r="J97" s="377"/>
      <c r="K97" s="874"/>
    </row>
    <row r="98" spans="1:11" ht="15" customHeight="1" hidden="1" outlineLevel="1">
      <c r="A98" s="1017" t="s">
        <v>758</v>
      </c>
      <c r="B98" s="424"/>
      <c r="C98" s="414"/>
      <c r="D98" s="414"/>
      <c r="E98" s="564">
        <f>+'[21]Version Final'!$G$75</f>
        <v>50000000</v>
      </c>
      <c r="F98" s="564">
        <f t="shared" si="12"/>
        <v>50000000</v>
      </c>
      <c r="G98" s="411"/>
      <c r="H98" s="564">
        <f t="shared" si="13"/>
        <v>50000000</v>
      </c>
      <c r="I98" s="567">
        <f t="shared" si="14"/>
        <v>0.0029534474217700235</v>
      </c>
      <c r="J98" s="377"/>
      <c r="K98" s="874"/>
    </row>
    <row r="99" spans="1:11" ht="15" customHeight="1" hidden="1" outlineLevel="1">
      <c r="A99" s="1017"/>
      <c r="B99" s="424"/>
      <c r="C99" s="414"/>
      <c r="D99" s="414"/>
      <c r="E99" s="564"/>
      <c r="F99" s="412"/>
      <c r="G99" s="411"/>
      <c r="H99" s="412"/>
      <c r="I99" s="567"/>
      <c r="J99" s="377"/>
      <c r="K99" s="874"/>
    </row>
    <row r="100" spans="1:11" ht="15" collapsed="1">
      <c r="A100" s="1018" t="s">
        <v>538</v>
      </c>
      <c r="B100" s="424"/>
      <c r="C100" s="414"/>
      <c r="D100" s="414"/>
      <c r="E100" s="420">
        <f>+E101+E102+E103</f>
        <v>356139131.3584</v>
      </c>
      <c r="F100" s="412">
        <f>+F101+F102+F103</f>
        <v>356139131.3584</v>
      </c>
      <c r="G100" s="411"/>
      <c r="H100" s="412">
        <f>+H101+H102+H103</f>
        <v>356139131.3584</v>
      </c>
      <c r="I100" s="431">
        <f aca="true" t="shared" si="15" ref="I100:I105">+H100/$H$170</f>
        <v>0.021036763986037644</v>
      </c>
      <c r="J100" s="377"/>
      <c r="K100" s="874"/>
    </row>
    <row r="101" spans="1:11" ht="15" customHeight="1" hidden="1" outlineLevel="1">
      <c r="A101" s="1020" t="s">
        <v>539</v>
      </c>
      <c r="B101" s="424"/>
      <c r="C101" s="414"/>
      <c r="D101" s="414"/>
      <c r="E101" s="564">
        <f>+'[21]Version Final'!$G$77</f>
        <v>73739131.3584</v>
      </c>
      <c r="F101" s="564">
        <f t="shared" si="12"/>
        <v>73739131.3584</v>
      </c>
      <c r="G101" s="411"/>
      <c r="H101" s="564">
        <f t="shared" si="13"/>
        <v>73739131.3584</v>
      </c>
      <c r="I101" s="567">
        <f t="shared" si="15"/>
        <v>0.004355692947880552</v>
      </c>
      <c r="J101" s="377"/>
      <c r="K101" s="874"/>
    </row>
    <row r="102" spans="1:11" ht="15" customHeight="1" hidden="1" outlineLevel="1">
      <c r="A102" s="1020" t="s">
        <v>640</v>
      </c>
      <c r="B102" s="424"/>
      <c r="C102" s="414"/>
      <c r="D102" s="414"/>
      <c r="E102" s="564">
        <f>+'[21]Version Final'!$G$80</f>
        <v>12400000</v>
      </c>
      <c r="F102" s="564">
        <f t="shared" si="12"/>
        <v>12400000</v>
      </c>
      <c r="G102" s="411"/>
      <c r="H102" s="564">
        <f t="shared" si="13"/>
        <v>12400000</v>
      </c>
      <c r="I102" s="567">
        <f t="shared" si="15"/>
        <v>0.0007324549605989659</v>
      </c>
      <c r="J102" s="377"/>
      <c r="K102" s="874"/>
    </row>
    <row r="103" spans="1:11" ht="15" customHeight="1" hidden="1" outlineLevel="1">
      <c r="A103" s="1020" t="s">
        <v>743</v>
      </c>
      <c r="B103" s="424"/>
      <c r="C103" s="414"/>
      <c r="D103" s="414"/>
      <c r="E103" s="564">
        <f>+'[21]Version Final'!$G$84</f>
        <v>270000000</v>
      </c>
      <c r="F103" s="564">
        <f t="shared" si="12"/>
        <v>270000000</v>
      </c>
      <c r="G103" s="411"/>
      <c r="H103" s="564">
        <f t="shared" si="13"/>
        <v>270000000</v>
      </c>
      <c r="I103" s="567">
        <f t="shared" si="15"/>
        <v>0.01594861607755813</v>
      </c>
      <c r="J103" s="377"/>
      <c r="K103" s="874"/>
    </row>
    <row r="104" spans="1:11" ht="15" collapsed="1">
      <c r="A104" s="1018" t="s">
        <v>624</v>
      </c>
      <c r="B104" s="424"/>
      <c r="C104" s="414"/>
      <c r="D104" s="414"/>
      <c r="E104" s="420">
        <f>+E105</f>
        <v>95728000</v>
      </c>
      <c r="F104" s="412">
        <f>+F105</f>
        <v>95728000</v>
      </c>
      <c r="G104" s="411"/>
      <c r="H104" s="412">
        <f>+H105</f>
        <v>95728000</v>
      </c>
      <c r="I104" s="431">
        <f t="shared" si="15"/>
        <v>0.0056545522958240165</v>
      </c>
      <c r="J104" s="377"/>
      <c r="K104" s="874"/>
    </row>
    <row r="105" spans="1:11" ht="15" customHeight="1" hidden="1" outlineLevel="1">
      <c r="A105" s="1020" t="s">
        <v>858</v>
      </c>
      <c r="B105" s="424"/>
      <c r="C105" s="414"/>
      <c r="D105" s="414"/>
      <c r="E105" s="564">
        <f>+'[21]Version Final'!$G$88</f>
        <v>95728000</v>
      </c>
      <c r="F105" s="564">
        <f t="shared" si="12"/>
        <v>95728000</v>
      </c>
      <c r="G105" s="411"/>
      <c r="H105" s="564">
        <f t="shared" si="13"/>
        <v>95728000</v>
      </c>
      <c r="I105" s="567">
        <f t="shared" si="15"/>
        <v>0.0056545522958240165</v>
      </c>
      <c r="J105" s="377"/>
      <c r="K105" s="874"/>
    </row>
    <row r="106" spans="1:11" ht="15" collapsed="1">
      <c r="A106" s="1020"/>
      <c r="B106" s="424"/>
      <c r="C106" s="414"/>
      <c r="D106" s="414"/>
      <c r="E106" s="564"/>
      <c r="F106" s="564"/>
      <c r="G106" s="411"/>
      <c r="H106" s="412"/>
      <c r="I106" s="567"/>
      <c r="J106" s="377"/>
      <c r="K106" s="874"/>
    </row>
    <row r="107" spans="1:11" s="880" customFormat="1" ht="15.75" customHeight="1">
      <c r="A107" s="407" t="s">
        <v>12</v>
      </c>
      <c r="B107" s="424"/>
      <c r="C107" s="412">
        <f>+C108+C115+C126+C130</f>
        <v>1110781737</v>
      </c>
      <c r="D107" s="414"/>
      <c r="E107" s="411"/>
      <c r="F107" s="412">
        <f>+F108+F115+F126+F130</f>
        <v>1110781737</v>
      </c>
      <c r="G107" s="414"/>
      <c r="H107" s="412">
        <f>+H108+H115+H126+H130</f>
        <v>1110781737</v>
      </c>
      <c r="I107" s="431">
        <f aca="true" t="shared" si="16" ref="I107:I113">+H107/$H$170</f>
        <v>0.06561270914583757</v>
      </c>
      <c r="J107" s="882"/>
      <c r="K107" s="874"/>
    </row>
    <row r="108" spans="1:11" s="880" customFormat="1" ht="15">
      <c r="A108" s="417" t="s">
        <v>279</v>
      </c>
      <c r="B108" s="424"/>
      <c r="C108" s="424">
        <f>+C109+C110+C111+C112+C113</f>
        <v>129792321</v>
      </c>
      <c r="D108" s="414"/>
      <c r="E108" s="411"/>
      <c r="F108" s="412">
        <f>+F109+F110+F111+F112+F113</f>
        <v>129792321</v>
      </c>
      <c r="G108" s="411"/>
      <c r="H108" s="412">
        <f>+H109+H110+H111+H112+H113</f>
        <v>129792321</v>
      </c>
      <c r="I108" s="431">
        <f t="shared" si="16"/>
        <v>0.007666695916459946</v>
      </c>
      <c r="J108" s="879"/>
      <c r="K108" s="874"/>
    </row>
    <row r="109" spans="1:11" s="880" customFormat="1" ht="15" customHeight="1" hidden="1" outlineLevel="1">
      <c r="A109" s="1021" t="s">
        <v>685</v>
      </c>
      <c r="B109" s="424"/>
      <c r="C109" s="561">
        <f>+'[20]PRESUPUESTO TECNICA 2011-Final'!$E$9</f>
        <v>57792321</v>
      </c>
      <c r="D109" s="414"/>
      <c r="E109" s="422"/>
      <c r="F109" s="414">
        <f aca="true" t="shared" si="17" ref="F109:F154">+E109+D109+C109+B109</f>
        <v>57792321</v>
      </c>
      <c r="G109" s="422"/>
      <c r="H109" s="564">
        <f aca="true" t="shared" si="18" ref="H109:H154">+G109+F109</f>
        <v>57792321</v>
      </c>
      <c r="I109" s="567">
        <f t="shared" si="16"/>
        <v>0.003413731629111112</v>
      </c>
      <c r="J109" s="879"/>
      <c r="K109" s="874"/>
    </row>
    <row r="110" spans="1:11" s="880" customFormat="1" ht="15" customHeight="1" hidden="1" outlineLevel="1">
      <c r="A110" s="1021" t="s">
        <v>686</v>
      </c>
      <c r="B110" s="424"/>
      <c r="C110" s="561">
        <f>+'[20]PRESUPUESTO TECNICA 2011-Final'!$E$12</f>
        <v>10000000</v>
      </c>
      <c r="D110" s="414"/>
      <c r="E110" s="422"/>
      <c r="F110" s="561">
        <f t="shared" si="17"/>
        <v>10000000</v>
      </c>
      <c r="G110" s="422"/>
      <c r="H110" s="561">
        <f t="shared" si="18"/>
        <v>10000000</v>
      </c>
      <c r="I110" s="567">
        <f t="shared" si="16"/>
        <v>0.0005906894843540047</v>
      </c>
      <c r="J110" s="879"/>
      <c r="K110" s="874"/>
    </row>
    <row r="111" spans="1:11" s="880" customFormat="1" ht="15" customHeight="1" hidden="1" outlineLevel="1">
      <c r="A111" s="1021" t="s">
        <v>684</v>
      </c>
      <c r="B111" s="424"/>
      <c r="C111" s="561">
        <f>+'[20]PRESUPUESTO TECNICA 2011-Final'!$E$14</f>
        <v>0</v>
      </c>
      <c r="D111" s="414"/>
      <c r="E111" s="422"/>
      <c r="F111" s="561">
        <f t="shared" si="17"/>
        <v>0</v>
      </c>
      <c r="G111" s="422"/>
      <c r="H111" s="561">
        <f t="shared" si="18"/>
        <v>0</v>
      </c>
      <c r="I111" s="567">
        <f t="shared" si="16"/>
        <v>0</v>
      </c>
      <c r="J111" s="879"/>
      <c r="K111" s="874"/>
    </row>
    <row r="112" spans="1:11" s="880" customFormat="1" ht="15" customHeight="1" hidden="1" outlineLevel="1">
      <c r="A112" s="1021" t="s">
        <v>688</v>
      </c>
      <c r="B112" s="424"/>
      <c r="C112" s="561">
        <f>+'[20]PRESUPUESTO TECNICA 2011-Final'!$E$16</f>
        <v>50000000</v>
      </c>
      <c r="D112" s="414"/>
      <c r="E112" s="422"/>
      <c r="F112" s="561">
        <f t="shared" si="17"/>
        <v>50000000</v>
      </c>
      <c r="G112" s="422"/>
      <c r="H112" s="561">
        <f t="shared" si="18"/>
        <v>50000000</v>
      </c>
      <c r="I112" s="567">
        <f t="shared" si="16"/>
        <v>0.0029534474217700235</v>
      </c>
      <c r="J112" s="879"/>
      <c r="K112" s="874"/>
    </row>
    <row r="113" spans="1:11" s="880" customFormat="1" ht="15" customHeight="1" hidden="1" outlineLevel="1">
      <c r="A113" s="419" t="s">
        <v>583</v>
      </c>
      <c r="B113" s="424"/>
      <c r="C113" s="561">
        <f>+'[20]PRESUPUESTO TECNICA 2011-Final'!$E$18</f>
        <v>12000000</v>
      </c>
      <c r="D113" s="414"/>
      <c r="E113" s="422"/>
      <c r="F113" s="561">
        <f t="shared" si="17"/>
        <v>12000000</v>
      </c>
      <c r="G113" s="422"/>
      <c r="H113" s="561">
        <f t="shared" si="18"/>
        <v>12000000</v>
      </c>
      <c r="I113" s="567">
        <f t="shared" si="16"/>
        <v>0.0007088273812248057</v>
      </c>
      <c r="J113" s="879"/>
      <c r="K113" s="874"/>
    </row>
    <row r="114" spans="1:11" s="880" customFormat="1" ht="15" customHeight="1" hidden="1" outlineLevel="1">
      <c r="A114" s="417"/>
      <c r="B114" s="424"/>
      <c r="C114" s="424"/>
      <c r="D114" s="414"/>
      <c r="E114" s="411"/>
      <c r="F114" s="412"/>
      <c r="G114" s="411"/>
      <c r="H114" s="412"/>
      <c r="I114" s="431"/>
      <c r="J114" s="879"/>
      <c r="K114" s="874"/>
    </row>
    <row r="115" spans="1:11" s="880" customFormat="1" ht="15" collapsed="1">
      <c r="A115" s="417" t="s">
        <v>13</v>
      </c>
      <c r="B115" s="412"/>
      <c r="C115" s="412">
        <f>+C116+C120</f>
        <v>536789416</v>
      </c>
      <c r="D115" s="411"/>
      <c r="E115" s="411"/>
      <c r="F115" s="412">
        <f>+F116+F120</f>
        <v>536789416</v>
      </c>
      <c r="G115" s="411"/>
      <c r="H115" s="412">
        <f>+H116+H120</f>
        <v>536789416</v>
      </c>
      <c r="I115" s="431">
        <f aca="true" t="shared" si="19" ref="I115:I132">+H115/$H$170</f>
        <v>0.031707586334372734</v>
      </c>
      <c r="J115" s="879"/>
      <c r="K115" s="874"/>
    </row>
    <row r="116" spans="1:11" s="880" customFormat="1" ht="14.25" customHeight="1" hidden="1" outlineLevel="1">
      <c r="A116" s="1020" t="s">
        <v>14</v>
      </c>
      <c r="B116" s="414"/>
      <c r="C116" s="564">
        <f>+C117+C118+C119</f>
        <v>359674300</v>
      </c>
      <c r="D116" s="411"/>
      <c r="E116" s="411"/>
      <c r="F116" s="414">
        <f>+F117+F118+F119</f>
        <v>359674300</v>
      </c>
      <c r="G116" s="411"/>
      <c r="H116" s="564">
        <f>+H117+H118+H119</f>
        <v>359674300</v>
      </c>
      <c r="I116" s="567">
        <f t="shared" si="19"/>
        <v>0.02124558268023876</v>
      </c>
      <c r="J116" s="879"/>
      <c r="K116" s="874"/>
    </row>
    <row r="117" spans="1:11" s="880" customFormat="1" ht="14.25" customHeight="1" hidden="1" outlineLevel="2">
      <c r="A117" s="419" t="s">
        <v>577</v>
      </c>
      <c r="B117" s="414"/>
      <c r="C117" s="414">
        <f>+'[20]PRESUPUESTO TECNICA 2011-Final'!$E$22</f>
        <v>180000000</v>
      </c>
      <c r="D117" s="411"/>
      <c r="E117" s="411"/>
      <c r="F117" s="414">
        <f t="shared" si="17"/>
        <v>180000000</v>
      </c>
      <c r="G117" s="411"/>
      <c r="H117" s="564">
        <f t="shared" si="18"/>
        <v>180000000</v>
      </c>
      <c r="I117" s="567">
        <f t="shared" si="19"/>
        <v>0.010632410718372086</v>
      </c>
      <c r="J117" s="879"/>
      <c r="K117" s="874"/>
    </row>
    <row r="118" spans="1:11" s="880" customFormat="1" ht="14.25" customHeight="1" hidden="1" outlineLevel="2">
      <c r="A118" s="419" t="s">
        <v>576</v>
      </c>
      <c r="B118" s="414"/>
      <c r="C118" s="414">
        <f>+'[20]PRESUPUESTO TECNICA 2011-Final'!$E$27</f>
        <v>24000000</v>
      </c>
      <c r="D118" s="411"/>
      <c r="E118" s="411"/>
      <c r="F118" s="414">
        <f t="shared" si="17"/>
        <v>24000000</v>
      </c>
      <c r="G118" s="411"/>
      <c r="H118" s="564">
        <f t="shared" si="18"/>
        <v>24000000</v>
      </c>
      <c r="I118" s="567">
        <f t="shared" si="19"/>
        <v>0.0014176547624496114</v>
      </c>
      <c r="J118" s="879"/>
      <c r="K118" s="874"/>
    </row>
    <row r="119" spans="1:11" s="880" customFormat="1" ht="14.25" customHeight="1" hidden="1" outlineLevel="2">
      <c r="A119" s="419" t="s">
        <v>578</v>
      </c>
      <c r="B119" s="414"/>
      <c r="C119" s="414">
        <f>+'[20]PRESUPUESTO TECNICA 2011-Final'!$E$29</f>
        <v>155674300</v>
      </c>
      <c r="D119" s="411"/>
      <c r="E119" s="411"/>
      <c r="F119" s="414">
        <f t="shared" si="17"/>
        <v>155674300</v>
      </c>
      <c r="G119" s="411"/>
      <c r="H119" s="564">
        <f t="shared" si="18"/>
        <v>155674300</v>
      </c>
      <c r="I119" s="567">
        <f t="shared" si="19"/>
        <v>0.009195517199417065</v>
      </c>
      <c r="J119" s="879"/>
      <c r="K119" s="874"/>
    </row>
    <row r="120" spans="1:11" s="880" customFormat="1" ht="14.25" customHeight="1" hidden="1" outlineLevel="1" collapsed="1">
      <c r="A120" s="1020" t="s">
        <v>540</v>
      </c>
      <c r="B120" s="414"/>
      <c r="C120" s="564">
        <f>+SUM(C121:C124)</f>
        <v>177115116</v>
      </c>
      <c r="D120" s="411"/>
      <c r="E120" s="411"/>
      <c r="F120" s="414">
        <f>+F121+F122+F123+F124</f>
        <v>177115116</v>
      </c>
      <c r="G120" s="411"/>
      <c r="H120" s="564">
        <f>+H121+H122+H123+H124</f>
        <v>177115116</v>
      </c>
      <c r="I120" s="567">
        <f t="shared" si="19"/>
        <v>0.010462003654133974</v>
      </c>
      <c r="J120" s="879"/>
      <c r="K120" s="874"/>
    </row>
    <row r="121" spans="1:11" s="880" customFormat="1" ht="14.25" customHeight="1" hidden="1" outlineLevel="2">
      <c r="A121" s="419" t="s">
        <v>579</v>
      </c>
      <c r="B121" s="414"/>
      <c r="C121" s="414">
        <f>+'[20]PRESUPUESTO TECNICA 2011-Final'!$E$37</f>
        <v>23000000</v>
      </c>
      <c r="D121" s="411"/>
      <c r="E121" s="411"/>
      <c r="F121" s="414">
        <f t="shared" si="17"/>
        <v>23000000</v>
      </c>
      <c r="G121" s="411"/>
      <c r="H121" s="564">
        <f t="shared" si="18"/>
        <v>23000000</v>
      </c>
      <c r="I121" s="567">
        <f t="shared" si="19"/>
        <v>0.001358585814014211</v>
      </c>
      <c r="J121" s="879"/>
      <c r="K121" s="874"/>
    </row>
    <row r="122" spans="1:11" s="880" customFormat="1" ht="14.25" customHeight="1" hidden="1" outlineLevel="2">
      <c r="A122" s="419" t="s">
        <v>580</v>
      </c>
      <c r="B122" s="414"/>
      <c r="C122" s="414">
        <f>+'[20]PRESUPUESTO TECNICA 2011-Final'!$E$40</f>
        <v>126035116</v>
      </c>
      <c r="D122" s="411"/>
      <c r="E122" s="411"/>
      <c r="F122" s="414">
        <f t="shared" si="17"/>
        <v>126035116</v>
      </c>
      <c r="G122" s="411"/>
      <c r="H122" s="564">
        <f t="shared" si="18"/>
        <v>126035116</v>
      </c>
      <c r="I122" s="567">
        <f t="shared" si="19"/>
        <v>0.007444761768053717</v>
      </c>
      <c r="J122" s="879"/>
      <c r="K122" s="874"/>
    </row>
    <row r="123" spans="1:11" s="880" customFormat="1" ht="14.25" customHeight="1" hidden="1" outlineLevel="2">
      <c r="A123" s="419" t="s">
        <v>581</v>
      </c>
      <c r="B123" s="414"/>
      <c r="C123" s="414">
        <f>+'[20]PRESUPUESTO TECNICA 2011-Final'!$E$46</f>
        <v>22080000</v>
      </c>
      <c r="D123" s="411"/>
      <c r="E123" s="411"/>
      <c r="F123" s="414">
        <f t="shared" si="17"/>
        <v>22080000</v>
      </c>
      <c r="G123" s="411"/>
      <c r="H123" s="564">
        <f t="shared" si="18"/>
        <v>22080000</v>
      </c>
      <c r="I123" s="567">
        <f t="shared" si="19"/>
        <v>0.0013042423814536425</v>
      </c>
      <c r="J123" s="879"/>
      <c r="K123" s="874"/>
    </row>
    <row r="124" spans="1:11" s="880" customFormat="1" ht="14.25" customHeight="1" hidden="1" outlineLevel="2">
      <c r="A124" s="419" t="s">
        <v>582</v>
      </c>
      <c r="B124" s="414"/>
      <c r="C124" s="414">
        <f>+'[20]PRESUPUESTO TECNICA 2011-Final'!$E$47</f>
        <v>6000000</v>
      </c>
      <c r="D124" s="411"/>
      <c r="E124" s="411"/>
      <c r="F124" s="414">
        <f t="shared" si="17"/>
        <v>6000000</v>
      </c>
      <c r="G124" s="411"/>
      <c r="H124" s="564">
        <f t="shared" si="18"/>
        <v>6000000</v>
      </c>
      <c r="I124" s="567">
        <f t="shared" si="19"/>
        <v>0.00035441369061240286</v>
      </c>
      <c r="J124" s="879"/>
      <c r="K124" s="874"/>
    </row>
    <row r="125" spans="1:11" s="880" customFormat="1" ht="15" customHeight="1" hidden="1" outlineLevel="1" collapsed="1">
      <c r="A125" s="1020"/>
      <c r="B125" s="414"/>
      <c r="C125" s="414"/>
      <c r="D125" s="411"/>
      <c r="E125" s="411"/>
      <c r="F125" s="414"/>
      <c r="G125" s="411"/>
      <c r="H125" s="412"/>
      <c r="I125" s="567"/>
      <c r="J125" s="879"/>
      <c r="K125" s="874"/>
    </row>
    <row r="126" spans="1:11" s="880" customFormat="1" ht="15" collapsed="1">
      <c r="A126" s="417" t="s">
        <v>0</v>
      </c>
      <c r="B126" s="412"/>
      <c r="C126" s="412">
        <f>+C127+C128+C129</f>
        <v>108380000</v>
      </c>
      <c r="D126" s="411"/>
      <c r="E126" s="411"/>
      <c r="F126" s="412">
        <f>+F127+F128+F129</f>
        <v>108380000</v>
      </c>
      <c r="G126" s="411"/>
      <c r="H126" s="412">
        <f>+H127+H128+H129</f>
        <v>108380000</v>
      </c>
      <c r="I126" s="431">
        <f t="shared" si="19"/>
        <v>0.006401892631428704</v>
      </c>
      <c r="J126" s="879"/>
      <c r="K126" s="874"/>
    </row>
    <row r="127" spans="1:11" s="880" customFormat="1" ht="15" customHeight="1" hidden="1" outlineLevel="1">
      <c r="A127" s="1020" t="s">
        <v>690</v>
      </c>
      <c r="B127" s="412"/>
      <c r="C127" s="414">
        <f>+'[20]PRESUPUESTO TECNICA 2011-Final'!$E$49</f>
        <v>42900000</v>
      </c>
      <c r="D127" s="411"/>
      <c r="E127" s="411"/>
      <c r="F127" s="415">
        <f t="shared" si="17"/>
        <v>42900000</v>
      </c>
      <c r="G127" s="411"/>
      <c r="H127" s="564">
        <f t="shared" si="18"/>
        <v>42900000</v>
      </c>
      <c r="I127" s="567">
        <f t="shared" si="19"/>
        <v>0.0025340578878786804</v>
      </c>
      <c r="J127" s="879"/>
      <c r="K127" s="874"/>
    </row>
    <row r="128" spans="1:11" s="880" customFormat="1" ht="15" customHeight="1" hidden="1" outlineLevel="1">
      <c r="A128" s="1020" t="s">
        <v>687</v>
      </c>
      <c r="B128" s="412"/>
      <c r="C128" s="414">
        <f>+'[20]PRESUPUESTO TECNICA 2011-Final'!$E$55</f>
        <v>42300000</v>
      </c>
      <c r="D128" s="414"/>
      <c r="E128" s="411"/>
      <c r="F128" s="415">
        <f t="shared" si="17"/>
        <v>42300000</v>
      </c>
      <c r="G128" s="411"/>
      <c r="H128" s="564">
        <f t="shared" si="18"/>
        <v>42300000</v>
      </c>
      <c r="I128" s="567">
        <f t="shared" si="19"/>
        <v>0.00249861651881744</v>
      </c>
      <c r="J128" s="879"/>
      <c r="K128" s="874"/>
    </row>
    <row r="129" spans="1:11" s="880" customFormat="1" ht="15" customHeight="1" hidden="1" outlineLevel="1">
      <c r="A129" s="1020" t="s">
        <v>861</v>
      </c>
      <c r="B129" s="412"/>
      <c r="C129" s="414">
        <f>+'[20]PRESUPUESTO TECNICA 2011-Final'!$E$59</f>
        <v>23180000</v>
      </c>
      <c r="D129" s="414"/>
      <c r="E129" s="411"/>
      <c r="F129" s="415">
        <f t="shared" si="17"/>
        <v>23180000</v>
      </c>
      <c r="G129" s="411"/>
      <c r="H129" s="564">
        <f t="shared" si="18"/>
        <v>23180000</v>
      </c>
      <c r="I129" s="567">
        <f t="shared" si="19"/>
        <v>0.001369218224732583</v>
      </c>
      <c r="J129" s="879"/>
      <c r="K129" s="874"/>
    </row>
    <row r="130" spans="1:11" s="880" customFormat="1" ht="15" collapsed="1">
      <c r="A130" s="417" t="s">
        <v>410</v>
      </c>
      <c r="B130" s="415"/>
      <c r="C130" s="420">
        <f>+C131+C132</f>
        <v>335820000</v>
      </c>
      <c r="D130" s="421"/>
      <c r="E130" s="421"/>
      <c r="F130" s="420">
        <f>+F131+F132</f>
        <v>335820000</v>
      </c>
      <c r="G130" s="421"/>
      <c r="H130" s="412">
        <f>+H131+H132</f>
        <v>335820000</v>
      </c>
      <c r="I130" s="431">
        <f t="shared" si="19"/>
        <v>0.019836534263576188</v>
      </c>
      <c r="J130" s="879"/>
      <c r="K130" s="874"/>
    </row>
    <row r="131" spans="1:11" s="880" customFormat="1" ht="15" customHeight="1" hidden="1" outlineLevel="1">
      <c r="A131" s="1020" t="s">
        <v>588</v>
      </c>
      <c r="B131" s="412"/>
      <c r="C131" s="564">
        <f>+'[20]PRESUPUESTO TECNICA 2011-Final'!$E$63</f>
        <v>161320000</v>
      </c>
      <c r="D131" s="414"/>
      <c r="E131" s="411"/>
      <c r="F131" s="415">
        <f t="shared" si="17"/>
        <v>161320000</v>
      </c>
      <c r="G131" s="411"/>
      <c r="H131" s="564">
        <f t="shared" si="18"/>
        <v>161320000</v>
      </c>
      <c r="I131" s="567">
        <f t="shared" si="19"/>
        <v>0.009529002761598805</v>
      </c>
      <c r="J131" s="879"/>
      <c r="K131" s="874"/>
    </row>
    <row r="132" spans="1:11" s="880" customFormat="1" ht="15" customHeight="1" hidden="1" outlineLevel="1">
      <c r="A132" s="1020" t="s">
        <v>589</v>
      </c>
      <c r="B132" s="412"/>
      <c r="C132" s="564">
        <f>+'[20]PRESUPUESTO TECNICA 2011-Final'!$E$73</f>
        <v>174500000</v>
      </c>
      <c r="D132" s="414"/>
      <c r="E132" s="411"/>
      <c r="F132" s="415">
        <f t="shared" si="17"/>
        <v>174500000</v>
      </c>
      <c r="G132" s="411"/>
      <c r="H132" s="564">
        <f t="shared" si="18"/>
        <v>174500000</v>
      </c>
      <c r="I132" s="567">
        <f t="shared" si="19"/>
        <v>0.010307531501977383</v>
      </c>
      <c r="J132" s="879"/>
      <c r="K132" s="874"/>
    </row>
    <row r="133" spans="1:11" s="880" customFormat="1" ht="15" collapsed="1">
      <c r="A133" s="419"/>
      <c r="B133" s="412"/>
      <c r="C133" s="414"/>
      <c r="D133" s="411"/>
      <c r="E133" s="414"/>
      <c r="F133" s="412"/>
      <c r="G133" s="411"/>
      <c r="H133" s="412"/>
      <c r="I133" s="431"/>
      <c r="J133" s="879"/>
      <c r="K133" s="874"/>
    </row>
    <row r="134" spans="1:11" ht="15">
      <c r="A134" s="407" t="s">
        <v>65</v>
      </c>
      <c r="B134" s="411"/>
      <c r="C134" s="412"/>
      <c r="D134" s="412">
        <f>+D135+D140+D148+D153+D155</f>
        <v>4625165946.33424</v>
      </c>
      <c r="E134" s="418"/>
      <c r="F134" s="420">
        <f t="shared" si="17"/>
        <v>4625165946.33424</v>
      </c>
      <c r="G134" s="418"/>
      <c r="H134" s="420">
        <f t="shared" si="18"/>
        <v>4625165946.33424</v>
      </c>
      <c r="I134" s="431">
        <f aca="true" t="shared" si="20" ref="I134:I146">+H134/$H$170</f>
        <v>0.27320368878918744</v>
      </c>
      <c r="J134" s="882"/>
      <c r="K134" s="874"/>
    </row>
    <row r="135" spans="1:11" s="880" customFormat="1" ht="15">
      <c r="A135" s="423" t="s">
        <v>217</v>
      </c>
      <c r="B135" s="418"/>
      <c r="C135" s="414"/>
      <c r="D135" s="420">
        <f>+D136+D137+D138+D139</f>
        <v>2626640348.00064</v>
      </c>
      <c r="E135" s="411"/>
      <c r="F135" s="420">
        <f>+F136+F137+F138+F139</f>
        <v>2626640348.00064</v>
      </c>
      <c r="G135" s="411"/>
      <c r="H135" s="420">
        <f>+H136+H137+H138+H139</f>
        <v>2626640348.00064</v>
      </c>
      <c r="I135" s="431">
        <f t="shared" si="20"/>
        <v>0.15515288327439217</v>
      </c>
      <c r="J135" s="879"/>
      <c r="K135" s="874"/>
    </row>
    <row r="136" spans="1:11" s="880" customFormat="1" ht="15" customHeight="1" hidden="1" outlineLevel="1">
      <c r="A136" s="419" t="s">
        <v>461</v>
      </c>
      <c r="B136" s="418"/>
      <c r="C136" s="414"/>
      <c r="D136" s="415">
        <f>+'[10]justificacion formulada'!$D$31</f>
        <v>1456755237.58464</v>
      </c>
      <c r="E136" s="411"/>
      <c r="F136" s="415">
        <f t="shared" si="17"/>
        <v>1456755237.58464</v>
      </c>
      <c r="G136" s="411"/>
      <c r="H136" s="564">
        <f t="shared" si="18"/>
        <v>1456755237.58464</v>
      </c>
      <c r="I136" s="567">
        <f t="shared" si="20"/>
        <v>0.08604900001188667</v>
      </c>
      <c r="J136" s="879"/>
      <c r="K136" s="874"/>
    </row>
    <row r="137" spans="1:11" s="880" customFormat="1" ht="15" customHeight="1" hidden="1" outlineLevel="1">
      <c r="A137" s="419" t="s">
        <v>213</v>
      </c>
      <c r="B137" s="418"/>
      <c r="C137" s="414"/>
      <c r="D137" s="415">
        <f>+'[10]justificacion formulada'!$D$35</f>
        <v>90875000</v>
      </c>
      <c r="E137" s="411"/>
      <c r="F137" s="415">
        <f t="shared" si="17"/>
        <v>90875000</v>
      </c>
      <c r="G137" s="411"/>
      <c r="H137" s="564">
        <f t="shared" si="18"/>
        <v>90875000</v>
      </c>
      <c r="I137" s="567">
        <f t="shared" si="20"/>
        <v>0.005367890689067018</v>
      </c>
      <c r="J137" s="879"/>
      <c r="K137" s="874"/>
    </row>
    <row r="138" spans="1:11" s="880" customFormat="1" ht="15" customHeight="1" hidden="1" outlineLevel="1">
      <c r="A138" s="419" t="s">
        <v>215</v>
      </c>
      <c r="B138" s="418"/>
      <c r="C138" s="414"/>
      <c r="D138" s="415">
        <f>+'[10]justificacion formulada'!$D$45</f>
        <v>717284324.7360001</v>
      </c>
      <c r="E138" s="411"/>
      <c r="F138" s="415">
        <f t="shared" si="17"/>
        <v>717284324.7360001</v>
      </c>
      <c r="G138" s="411"/>
      <c r="H138" s="564">
        <f t="shared" si="18"/>
        <v>717284324.7360001</v>
      </c>
      <c r="I138" s="567">
        <f t="shared" si="20"/>
        <v>0.04236923079135184</v>
      </c>
      <c r="J138" s="879"/>
      <c r="K138" s="874"/>
    </row>
    <row r="139" spans="1:11" s="880" customFormat="1" ht="15" customHeight="1" hidden="1" outlineLevel="1">
      <c r="A139" s="419" t="s">
        <v>460</v>
      </c>
      <c r="B139" s="418"/>
      <c r="C139" s="414"/>
      <c r="D139" s="415">
        <f>+'[10]justificacion formulada'!$D$50</f>
        <v>361725785.68</v>
      </c>
      <c r="E139" s="411"/>
      <c r="F139" s="415">
        <f t="shared" si="17"/>
        <v>361725785.68</v>
      </c>
      <c r="G139" s="411"/>
      <c r="H139" s="564">
        <f t="shared" si="18"/>
        <v>361725785.68</v>
      </c>
      <c r="I139" s="567">
        <f t="shared" si="20"/>
        <v>0.021366761782086643</v>
      </c>
      <c r="J139" s="879"/>
      <c r="K139" s="874"/>
    </row>
    <row r="140" spans="1:11" s="880" customFormat="1" ht="15" collapsed="1">
      <c r="A140" s="423" t="s">
        <v>15</v>
      </c>
      <c r="B140" s="418"/>
      <c r="C140" s="414"/>
      <c r="D140" s="420">
        <f>+D141+D145</f>
        <v>283325000</v>
      </c>
      <c r="E140" s="411"/>
      <c r="F140" s="420">
        <f>+F141+F145</f>
        <v>283325000</v>
      </c>
      <c r="G140" s="411"/>
      <c r="H140" s="420">
        <f>+H141+H145</f>
        <v>283325000</v>
      </c>
      <c r="I140" s="431">
        <f t="shared" si="20"/>
        <v>0.01673570981545984</v>
      </c>
      <c r="J140" s="879"/>
      <c r="K140" s="874"/>
    </row>
    <row r="141" spans="1:11" s="880" customFormat="1" ht="15" customHeight="1" hidden="1" outlineLevel="1">
      <c r="A141" s="423" t="s">
        <v>221</v>
      </c>
      <c r="B141" s="418"/>
      <c r="C141" s="414"/>
      <c r="D141" s="420">
        <f>+D143+D144+D142</f>
        <v>212161670</v>
      </c>
      <c r="E141" s="411"/>
      <c r="F141" s="420">
        <f>+E141+D141</f>
        <v>212161670</v>
      </c>
      <c r="G141" s="411"/>
      <c r="H141" s="420">
        <f>+G141+F141</f>
        <v>212161670</v>
      </c>
      <c r="I141" s="431">
        <f t="shared" si="20"/>
        <v>0.012532166745198452</v>
      </c>
      <c r="J141" s="879"/>
      <c r="K141" s="874"/>
    </row>
    <row r="142" spans="1:11" s="880" customFormat="1" ht="15" customHeight="1" hidden="1" outlineLevel="2">
      <c r="A142" s="419" t="s">
        <v>691</v>
      </c>
      <c r="B142" s="418"/>
      <c r="C142" s="414"/>
      <c r="D142" s="415">
        <f>22313000+1483689-203330</f>
        <v>23593359</v>
      </c>
      <c r="E142" s="411"/>
      <c r="F142" s="564">
        <f>+B142+C142+D142+E142</f>
        <v>23593359</v>
      </c>
      <c r="G142" s="1022"/>
      <c r="H142" s="564">
        <f>+G142+F142</f>
        <v>23593359</v>
      </c>
      <c r="I142" s="567">
        <f t="shared" si="20"/>
        <v>0.0013936349061888917</v>
      </c>
      <c r="J142" s="879"/>
      <c r="K142" s="874"/>
    </row>
    <row r="143" spans="1:11" s="880" customFormat="1" ht="15" customHeight="1" hidden="1" outlineLevel="2">
      <c r="A143" s="419" t="s">
        <v>407</v>
      </c>
      <c r="B143" s="418"/>
      <c r="C143" s="414"/>
      <c r="D143" s="415">
        <f>142052000-2500000</f>
        <v>139552000</v>
      </c>
      <c r="E143" s="411"/>
      <c r="F143" s="415">
        <f>+E143+D143+C143+B143</f>
        <v>139552000</v>
      </c>
      <c r="G143" s="411"/>
      <c r="H143" s="564">
        <f t="shared" si="18"/>
        <v>139552000</v>
      </c>
      <c r="I143" s="567">
        <f t="shared" si="20"/>
        <v>0.008243189892057008</v>
      </c>
      <c r="J143" s="879"/>
      <c r="K143" s="874"/>
    </row>
    <row r="144" spans="1:11" s="880" customFormat="1" ht="15" customHeight="1" hidden="1" outlineLevel="2">
      <c r="A144" s="419" t="s">
        <v>408</v>
      </c>
      <c r="B144" s="418"/>
      <c r="C144" s="414"/>
      <c r="D144" s="415">
        <f>48000000+2500000-1483689</f>
        <v>49016311</v>
      </c>
      <c r="E144" s="411"/>
      <c r="F144" s="415">
        <f t="shared" si="17"/>
        <v>49016311</v>
      </c>
      <c r="G144" s="411"/>
      <c r="H144" s="564">
        <f t="shared" si="18"/>
        <v>49016311</v>
      </c>
      <c r="I144" s="567">
        <f t="shared" si="20"/>
        <v>0.002895341946952553</v>
      </c>
      <c r="J144" s="879"/>
      <c r="K144" s="874"/>
    </row>
    <row r="145" spans="1:11" s="880" customFormat="1" ht="15" customHeight="1" hidden="1" outlineLevel="1" collapsed="1">
      <c r="A145" s="423" t="s">
        <v>220</v>
      </c>
      <c r="B145" s="418"/>
      <c r="C145" s="414"/>
      <c r="D145" s="420">
        <f>+D146</f>
        <v>71163330</v>
      </c>
      <c r="E145" s="411"/>
      <c r="F145" s="420">
        <f>+F146</f>
        <v>71163330</v>
      </c>
      <c r="G145" s="411"/>
      <c r="H145" s="420">
        <f>+H146</f>
        <v>71163330</v>
      </c>
      <c r="I145" s="431">
        <f t="shared" si="20"/>
        <v>0.0042035430702613875</v>
      </c>
      <c r="J145" s="879"/>
      <c r="K145" s="874"/>
    </row>
    <row r="146" spans="1:11" s="880" customFormat="1" ht="15" customHeight="1" hidden="1" outlineLevel="2">
      <c r="A146" s="419" t="s">
        <v>212</v>
      </c>
      <c r="B146" s="418"/>
      <c r="C146" s="414"/>
      <c r="D146" s="415">
        <f>70960000+203330</f>
        <v>71163330</v>
      </c>
      <c r="E146" s="411"/>
      <c r="F146" s="415">
        <f t="shared" si="17"/>
        <v>71163330</v>
      </c>
      <c r="G146" s="411"/>
      <c r="H146" s="564">
        <f t="shared" si="18"/>
        <v>71163330</v>
      </c>
      <c r="I146" s="567">
        <f t="shared" si="20"/>
        <v>0.0042035430702613875</v>
      </c>
      <c r="J146" s="879"/>
      <c r="K146" s="874"/>
    </row>
    <row r="147" spans="1:11" s="880" customFormat="1" ht="15" customHeight="1" hidden="1" outlineLevel="1" collapsed="1">
      <c r="A147" s="419"/>
      <c r="B147" s="418"/>
      <c r="C147" s="414"/>
      <c r="D147" s="415"/>
      <c r="E147" s="411"/>
      <c r="F147" s="415"/>
      <c r="G147" s="411"/>
      <c r="H147" s="564"/>
      <c r="I147" s="431"/>
      <c r="J147" s="879"/>
      <c r="K147" s="874"/>
    </row>
    <row r="148" spans="1:11" s="880" customFormat="1" ht="15" collapsed="1">
      <c r="A148" s="423" t="s">
        <v>216</v>
      </c>
      <c r="B148" s="418"/>
      <c r="C148" s="414"/>
      <c r="D148" s="420">
        <f>+D149+D150+D151+D152</f>
        <v>140000000</v>
      </c>
      <c r="E148" s="414"/>
      <c r="F148" s="420">
        <f>+F149+F150+F151+F152</f>
        <v>140000000</v>
      </c>
      <c r="G148" s="411"/>
      <c r="H148" s="420">
        <f>+H149+H150+H151+H152</f>
        <v>140000000</v>
      </c>
      <c r="I148" s="431">
        <f aca="true" t="shared" si="21" ref="I148:I160">+H148/$H$170</f>
        <v>0.008269652780956066</v>
      </c>
      <c r="J148" s="879"/>
      <c r="K148" s="874"/>
    </row>
    <row r="149" spans="1:11" s="880" customFormat="1" ht="15" customHeight="1" hidden="1" outlineLevel="1">
      <c r="A149" s="503" t="s">
        <v>249</v>
      </c>
      <c r="B149" s="418"/>
      <c r="C149" s="414"/>
      <c r="D149" s="415">
        <f>+'[10]justificacion formulada'!$D$66</f>
        <v>90000000</v>
      </c>
      <c r="E149" s="411"/>
      <c r="F149" s="415">
        <f t="shared" si="17"/>
        <v>90000000</v>
      </c>
      <c r="G149" s="422"/>
      <c r="H149" s="564">
        <f t="shared" si="18"/>
        <v>90000000</v>
      </c>
      <c r="I149" s="567">
        <f t="shared" si="21"/>
        <v>0.005316205359186043</v>
      </c>
      <c r="J149" s="879"/>
      <c r="K149" s="874"/>
    </row>
    <row r="150" spans="1:11" s="880" customFormat="1" ht="15" customHeight="1" hidden="1" outlineLevel="1">
      <c r="A150" s="503" t="s">
        <v>378</v>
      </c>
      <c r="B150" s="418"/>
      <c r="C150" s="414"/>
      <c r="D150" s="415">
        <f>+'[10]justificacion formulada'!$D$67</f>
        <v>25000000</v>
      </c>
      <c r="E150" s="411"/>
      <c r="F150" s="415">
        <f t="shared" si="17"/>
        <v>25000000</v>
      </c>
      <c r="G150" s="422"/>
      <c r="H150" s="564">
        <f t="shared" si="18"/>
        <v>25000000</v>
      </c>
      <c r="I150" s="567">
        <f t="shared" si="21"/>
        <v>0.0014767237108850118</v>
      </c>
      <c r="J150" s="879"/>
      <c r="K150" s="874"/>
    </row>
    <row r="151" spans="1:11" s="880" customFormat="1" ht="15" customHeight="1" hidden="1" outlineLevel="1">
      <c r="A151" s="503" t="s">
        <v>379</v>
      </c>
      <c r="B151" s="418"/>
      <c r="C151" s="414"/>
      <c r="D151" s="1023">
        <f>+'[10]justificacion formulada'!$D$68</f>
        <v>20000000</v>
      </c>
      <c r="E151" s="411"/>
      <c r="F151" s="415">
        <f t="shared" si="17"/>
        <v>20000000</v>
      </c>
      <c r="G151" s="422"/>
      <c r="H151" s="564">
        <f t="shared" si="18"/>
        <v>20000000</v>
      </c>
      <c r="I151" s="567">
        <f t="shared" si="21"/>
        <v>0.0011813789687080095</v>
      </c>
      <c r="J151" s="879"/>
      <c r="K151" s="874"/>
    </row>
    <row r="152" spans="1:11" s="880" customFormat="1" ht="15" customHeight="1" hidden="1" outlineLevel="1">
      <c r="A152" s="560" t="s">
        <v>692</v>
      </c>
      <c r="B152" s="418"/>
      <c r="C152" s="414"/>
      <c r="D152" s="415">
        <f>+'[10]justificacion formulada'!$D$69</f>
        <v>5000000</v>
      </c>
      <c r="E152" s="411"/>
      <c r="F152" s="415">
        <f t="shared" si="17"/>
        <v>5000000</v>
      </c>
      <c r="G152" s="422"/>
      <c r="H152" s="564">
        <f t="shared" si="18"/>
        <v>5000000</v>
      </c>
      <c r="I152" s="567">
        <f t="shared" si="21"/>
        <v>0.0002953447421770024</v>
      </c>
      <c r="J152" s="879"/>
      <c r="K152" s="874"/>
    </row>
    <row r="153" spans="1:11" ht="15" collapsed="1">
      <c r="A153" s="423" t="s">
        <v>8</v>
      </c>
      <c r="B153" s="411"/>
      <c r="C153" s="414"/>
      <c r="D153" s="420">
        <f>+D154</f>
        <v>290700000</v>
      </c>
      <c r="E153" s="411"/>
      <c r="F153" s="420">
        <f>+F154</f>
        <v>290700000</v>
      </c>
      <c r="G153" s="418"/>
      <c r="H153" s="420">
        <f>+H154</f>
        <v>290700000</v>
      </c>
      <c r="I153" s="431">
        <f t="shared" si="21"/>
        <v>0.01717134331017092</v>
      </c>
      <c r="J153" s="377"/>
      <c r="K153" s="874"/>
    </row>
    <row r="154" spans="1:11" ht="15" customHeight="1" hidden="1" outlineLevel="1">
      <c r="A154" s="419" t="s">
        <v>218</v>
      </c>
      <c r="B154" s="411"/>
      <c r="C154" s="414"/>
      <c r="D154" s="415">
        <f>+'[10]justificacion formulada'!$D$70</f>
        <v>290700000</v>
      </c>
      <c r="E154" s="411"/>
      <c r="F154" s="415">
        <f t="shared" si="17"/>
        <v>290700000</v>
      </c>
      <c r="G154" s="418"/>
      <c r="H154" s="564">
        <f t="shared" si="18"/>
        <v>290700000</v>
      </c>
      <c r="I154" s="567">
        <f t="shared" si="21"/>
        <v>0.01717134331017092</v>
      </c>
      <c r="J154" s="377"/>
      <c r="K154" s="874"/>
    </row>
    <row r="155" spans="1:11" ht="15.75" customHeight="1" collapsed="1">
      <c r="A155" s="423" t="s">
        <v>409</v>
      </c>
      <c r="B155" s="411"/>
      <c r="C155" s="414"/>
      <c r="D155" s="420">
        <f>+D156+D158+D159+D160+D157</f>
        <v>1284500598.3336</v>
      </c>
      <c r="E155" s="411"/>
      <c r="F155" s="420">
        <f aca="true" t="shared" si="22" ref="F155:F164">+E155+D155+C155+B155</f>
        <v>1284500598.3336</v>
      </c>
      <c r="G155" s="421"/>
      <c r="H155" s="420">
        <f aca="true" t="shared" si="23" ref="H155:H160">+F155+G155</f>
        <v>1284500598.3336</v>
      </c>
      <c r="I155" s="431">
        <f t="shared" si="21"/>
        <v>0.07587409960820848</v>
      </c>
      <c r="J155" s="377"/>
      <c r="K155" s="874"/>
    </row>
    <row r="156" spans="1:11" ht="15.75" customHeight="1" hidden="1" outlineLevel="1">
      <c r="A156" s="1020" t="s">
        <v>531</v>
      </c>
      <c r="B156" s="411"/>
      <c r="C156" s="414"/>
      <c r="D156" s="564">
        <f>+'[10]justificacion formulada'!$D$77+23400000</f>
        <v>1147675295.8416</v>
      </c>
      <c r="E156" s="411"/>
      <c r="F156" s="420">
        <f t="shared" si="22"/>
        <v>1147675295.8416</v>
      </c>
      <c r="G156" s="418"/>
      <c r="H156" s="564">
        <f t="shared" si="23"/>
        <v>1147675295.8416</v>
      </c>
      <c r="I156" s="567">
        <f t="shared" si="21"/>
        <v>0.06779197287065045</v>
      </c>
      <c r="J156" s="377"/>
      <c r="K156" s="874"/>
    </row>
    <row r="157" spans="1:11" ht="15.75" customHeight="1" hidden="1" outlineLevel="1">
      <c r="A157" s="1020" t="s">
        <v>387</v>
      </c>
      <c r="B157" s="411"/>
      <c r="C157" s="414"/>
      <c r="D157" s="564">
        <f>+'[10]justificacion formulada'!$D$81</f>
        <v>12000000</v>
      </c>
      <c r="E157" s="411"/>
      <c r="F157" s="420">
        <f t="shared" si="22"/>
        <v>12000000</v>
      </c>
      <c r="G157" s="418"/>
      <c r="H157" s="564">
        <f t="shared" si="23"/>
        <v>12000000</v>
      </c>
      <c r="I157" s="567">
        <f t="shared" si="21"/>
        <v>0.0007088273812248057</v>
      </c>
      <c r="J157" s="377"/>
      <c r="K157" s="874"/>
    </row>
    <row r="158" spans="1:11" ht="14.25" customHeight="1" hidden="1" outlineLevel="1">
      <c r="A158" s="1020" t="s">
        <v>693</v>
      </c>
      <c r="B158" s="411"/>
      <c r="C158" s="414"/>
      <c r="D158" s="564">
        <f>+'[10]justificacion formulada'!$D$82-450000-23400000</f>
        <v>80575302.49199998</v>
      </c>
      <c r="E158" s="411"/>
      <c r="F158" s="420">
        <f t="shared" si="22"/>
        <v>80575302.49199998</v>
      </c>
      <c r="G158" s="411"/>
      <c r="H158" s="564">
        <f t="shared" si="23"/>
        <v>80575302.49199998</v>
      </c>
      <c r="I158" s="567">
        <f t="shared" si="21"/>
        <v>0.004759498388066743</v>
      </c>
      <c r="J158" s="377"/>
      <c r="K158" s="874"/>
    </row>
    <row r="159" spans="1:11" ht="14.25" customHeight="1" hidden="1" outlineLevel="1">
      <c r="A159" s="1020" t="s">
        <v>432</v>
      </c>
      <c r="B159" s="411"/>
      <c r="C159" s="414"/>
      <c r="D159" s="564">
        <f>+'[10]justificacion formulada'!$D$85</f>
        <v>36000000</v>
      </c>
      <c r="E159" s="411"/>
      <c r="F159" s="420">
        <f t="shared" si="22"/>
        <v>36000000</v>
      </c>
      <c r="G159" s="411"/>
      <c r="H159" s="564">
        <f t="shared" si="23"/>
        <v>36000000</v>
      </c>
      <c r="I159" s="567">
        <f t="shared" si="21"/>
        <v>0.0021264821436744173</v>
      </c>
      <c r="J159" s="377"/>
      <c r="K159" s="874"/>
    </row>
    <row r="160" spans="1:11" ht="14.25" customHeight="1" hidden="1" outlineLevel="1">
      <c r="A160" s="1020" t="s">
        <v>694</v>
      </c>
      <c r="B160" s="411"/>
      <c r="C160" s="414"/>
      <c r="D160" s="564">
        <f>+'[10]justificacion formulada'!$D$86+450000</f>
        <v>8250000</v>
      </c>
      <c r="E160" s="411"/>
      <c r="F160" s="420">
        <f t="shared" si="22"/>
        <v>8250000</v>
      </c>
      <c r="G160" s="411"/>
      <c r="H160" s="564">
        <f t="shared" si="23"/>
        <v>8250000</v>
      </c>
      <c r="I160" s="567">
        <f t="shared" si="21"/>
        <v>0.0004873188245920539</v>
      </c>
      <c r="J160" s="377"/>
      <c r="K160" s="874"/>
    </row>
    <row r="161" spans="1:11" ht="15" collapsed="1">
      <c r="A161" s="419"/>
      <c r="B161" s="411"/>
      <c r="C161" s="414"/>
      <c r="D161" s="415"/>
      <c r="E161" s="411"/>
      <c r="F161" s="420"/>
      <c r="G161" s="411"/>
      <c r="H161" s="414"/>
      <c r="I161" s="431"/>
      <c r="J161" s="377"/>
      <c r="K161" s="874"/>
    </row>
    <row r="162" spans="1:11" ht="15">
      <c r="A162" s="417" t="s">
        <v>263</v>
      </c>
      <c r="B162" s="411"/>
      <c r="C162" s="411"/>
      <c r="D162" s="411"/>
      <c r="E162" s="414"/>
      <c r="F162" s="420"/>
      <c r="G162" s="412">
        <f>(INGRESOS!D13+INGRESOS!D17)*0.1</f>
        <v>927081953.1505461</v>
      </c>
      <c r="H162" s="412">
        <f>+G162+F162</f>
        <v>927081953.1505461</v>
      </c>
      <c r="I162" s="431">
        <f>+H162/$H$170</f>
        <v>0.05476175608603996</v>
      </c>
      <c r="J162" s="882"/>
      <c r="K162" s="874"/>
    </row>
    <row r="163" spans="1:11" ht="15">
      <c r="A163" s="417"/>
      <c r="B163" s="411"/>
      <c r="C163" s="411"/>
      <c r="D163" s="411"/>
      <c r="E163" s="414"/>
      <c r="F163" s="420"/>
      <c r="G163" s="412"/>
      <c r="H163" s="412"/>
      <c r="I163" s="431"/>
      <c r="J163" s="882"/>
      <c r="K163" s="874"/>
    </row>
    <row r="164" spans="1:11" ht="15">
      <c r="A164" s="417" t="s">
        <v>860</v>
      </c>
      <c r="B164" s="411"/>
      <c r="C164" s="1297">
        <v>1374122930</v>
      </c>
      <c r="D164" s="411"/>
      <c r="E164" s="414"/>
      <c r="F164" s="420">
        <f t="shared" si="22"/>
        <v>1374122930</v>
      </c>
      <c r="G164" s="412"/>
      <c r="H164" s="412">
        <f>+G164+F164</f>
        <v>1374122930</v>
      </c>
      <c r="I164" s="431">
        <f>+H164/$H$170</f>
        <v>0.08116799649607141</v>
      </c>
      <c r="J164" s="882"/>
      <c r="K164" s="874"/>
    </row>
    <row r="165" spans="1:11" ht="15">
      <c r="A165" s="423"/>
      <c r="B165" s="411"/>
      <c r="C165" s="411"/>
      <c r="D165" s="411"/>
      <c r="E165" s="414"/>
      <c r="F165" s="414"/>
      <c r="G165" s="414"/>
      <c r="H165" s="412"/>
      <c r="I165" s="431"/>
      <c r="J165" s="377"/>
      <c r="K165" s="874"/>
    </row>
    <row r="166" spans="1:11" ht="15">
      <c r="A166" s="417" t="s">
        <v>344</v>
      </c>
      <c r="B166" s="412">
        <f>+B167+B168</f>
        <v>0</v>
      </c>
      <c r="C166" s="412">
        <f>+C167+C168</f>
        <v>0</v>
      </c>
      <c r="D166" s="412">
        <f>+D167+D168</f>
        <v>0</v>
      </c>
      <c r="E166" s="412">
        <f>+E167+E168</f>
        <v>0</v>
      </c>
      <c r="F166" s="412">
        <f>+B166+C166+D166+E166</f>
        <v>0</v>
      </c>
      <c r="G166" s="412">
        <f>+G167+G168</f>
        <v>718642358.4912109</v>
      </c>
      <c r="H166" s="412">
        <f>+G166+F166</f>
        <v>718642358.4912109</v>
      </c>
      <c r="I166" s="431">
        <f>+H166/$H$170</f>
        <v>0.04244944841721192</v>
      </c>
      <c r="J166" s="377"/>
      <c r="K166" s="874"/>
    </row>
    <row r="167" spans="1:11" s="429" customFormat="1" ht="14.25">
      <c r="A167" s="416" t="s">
        <v>433</v>
      </c>
      <c r="B167" s="411"/>
      <c r="C167" s="411"/>
      <c r="D167" s="411"/>
      <c r="E167" s="414"/>
      <c r="F167" s="414">
        <f>+B167+C167+D167+E167</f>
        <v>0</v>
      </c>
      <c r="G167" s="414">
        <f>+H175</f>
        <v>159414235.57270813</v>
      </c>
      <c r="H167" s="414">
        <f>+G167+F167</f>
        <v>159414235.57270813</v>
      </c>
      <c r="I167" s="567">
        <f>+H167/$H$170</f>
        <v>0.00941643126091308</v>
      </c>
      <c r="J167" s="377"/>
      <c r="K167" s="874"/>
    </row>
    <row r="168" spans="1:11" s="429" customFormat="1" ht="14.25">
      <c r="A168" s="416" t="s">
        <v>434</v>
      </c>
      <c r="B168" s="411"/>
      <c r="C168" s="411"/>
      <c r="D168" s="414"/>
      <c r="E168" s="414"/>
      <c r="F168" s="414">
        <f>+B168+C168+D168+E168</f>
        <v>0</v>
      </c>
      <c r="G168" s="414">
        <f>+H176</f>
        <v>559228122.9185028</v>
      </c>
      <c r="H168" s="414">
        <f>+G168+F168</f>
        <v>559228122.9185028</v>
      </c>
      <c r="I168" s="567">
        <f>+H168/$H$170</f>
        <v>0.03303301715629884</v>
      </c>
      <c r="J168" s="882"/>
      <c r="K168" s="874"/>
    </row>
    <row r="169" spans="1:11" ht="15">
      <c r="A169" s="423"/>
      <c r="B169" s="411"/>
      <c r="C169" s="411"/>
      <c r="D169" s="411"/>
      <c r="E169" s="414"/>
      <c r="F169" s="414"/>
      <c r="G169" s="414"/>
      <c r="H169" s="414"/>
      <c r="I169" s="431"/>
      <c r="J169" s="882"/>
      <c r="K169" s="874"/>
    </row>
    <row r="170" spans="1:11" ht="15">
      <c r="A170" s="423" t="s">
        <v>462</v>
      </c>
      <c r="B170" s="412">
        <f>+B39+B37</f>
        <v>3317026817.6249332</v>
      </c>
      <c r="C170" s="412">
        <f>+C37+C39</f>
        <v>2780979976.572989</v>
      </c>
      <c r="D170" s="412">
        <f>+D37+D39</f>
        <v>5831945212.55212</v>
      </c>
      <c r="E170" s="412">
        <f>+E39+E37</f>
        <v>2722521717.856757</v>
      </c>
      <c r="F170" s="412">
        <f>+B170+C170+D170+E170</f>
        <v>14652473724.6068</v>
      </c>
      <c r="G170" s="412">
        <f>+G166+G162+G39+G37</f>
        <v>2276894860.54127</v>
      </c>
      <c r="H170" s="412">
        <f>+G170+F170</f>
        <v>16929368585.14807</v>
      </c>
      <c r="I170" s="431">
        <f>+H170/$H$170</f>
        <v>1</v>
      </c>
      <c r="J170" s="377"/>
      <c r="K170" s="874"/>
    </row>
    <row r="171" spans="1:11" ht="15.75" thickBot="1">
      <c r="A171" s="883"/>
      <c r="B171" s="408"/>
      <c r="C171" s="884"/>
      <c r="D171" s="884"/>
      <c r="E171" s="884"/>
      <c r="F171" s="884"/>
      <c r="G171" s="884"/>
      <c r="H171" s="884"/>
      <c r="I171" s="885"/>
      <c r="J171" s="377"/>
      <c r="K171" s="874"/>
    </row>
    <row r="172" spans="1:10" ht="18.75" thickTop="1">
      <c r="A172" s="886"/>
      <c r="B172" s="386"/>
      <c r="C172" s="377"/>
      <c r="D172" s="377"/>
      <c r="E172" s="377"/>
      <c r="F172" s="377"/>
      <c r="G172" s="882"/>
      <c r="H172" s="882"/>
      <c r="I172" s="877"/>
      <c r="J172" s="377"/>
    </row>
    <row r="173" spans="1:10" ht="12.75">
      <c r="A173" s="886"/>
      <c r="B173" s="377"/>
      <c r="C173" s="377"/>
      <c r="D173" s="882"/>
      <c r="E173" s="377"/>
      <c r="F173" s="882"/>
      <c r="G173" s="882"/>
      <c r="H173" s="887"/>
      <c r="I173" s="888"/>
      <c r="J173" s="377"/>
    </row>
    <row r="174" spans="1:10" ht="15.75" hidden="1">
      <c r="A174" s="886"/>
      <c r="B174" s="882"/>
      <c r="C174" s="377"/>
      <c r="D174" s="377"/>
      <c r="E174" s="889"/>
      <c r="F174" s="890" t="s">
        <v>309</v>
      </c>
      <c r="G174" s="890" t="s">
        <v>366</v>
      </c>
      <c r="H174" s="891" t="s">
        <v>246</v>
      </c>
      <c r="I174" s="377"/>
      <c r="J174" s="377"/>
    </row>
    <row r="175" spans="1:10" ht="15.75" hidden="1">
      <c r="A175" s="892"/>
      <c r="B175" s="377"/>
      <c r="C175" s="377"/>
      <c r="D175" s="377"/>
      <c r="E175" s="889" t="s">
        <v>177</v>
      </c>
      <c r="F175" s="893">
        <f>+B170+C170+E170+G37+(G162*75%)</f>
        <v>10147010525.817102</v>
      </c>
      <c r="G175" s="562">
        <f>+INGRESOS!F42</f>
        <v>10306424761.38981</v>
      </c>
      <c r="H175" s="893">
        <f>+G175-F175</f>
        <v>159414235.57270813</v>
      </c>
      <c r="I175" s="377"/>
      <c r="J175" s="377"/>
    </row>
    <row r="176" spans="1:10" ht="16.5" hidden="1" thickBot="1">
      <c r="A176" s="886"/>
      <c r="B176" s="377"/>
      <c r="C176" s="377"/>
      <c r="D176" s="377"/>
      <c r="E176" s="889" t="s">
        <v>362</v>
      </c>
      <c r="F176" s="894">
        <f>+D170+(G162*25%)</f>
        <v>6063715700.839757</v>
      </c>
      <c r="G176" s="563">
        <f>+INGRESOS!F43</f>
        <v>6622943823.75826</v>
      </c>
      <c r="H176" s="1287">
        <f>+G176-F176</f>
        <v>559228122.9185028</v>
      </c>
      <c r="I176" s="377"/>
      <c r="J176" s="377"/>
    </row>
    <row r="177" spans="1:10" ht="16.5" hidden="1" thickTop="1">
      <c r="A177" s="886"/>
      <c r="B177" s="377"/>
      <c r="C177" s="377"/>
      <c r="D177" s="377"/>
      <c r="E177" s="889"/>
      <c r="F177" s="895">
        <f>+F175+F176</f>
        <v>16210726226.65686</v>
      </c>
      <c r="G177" s="896">
        <f>+G176+G175</f>
        <v>16929368585.148071</v>
      </c>
      <c r="H177" s="896">
        <f>+H176+H175</f>
        <v>718642358.4912109</v>
      </c>
      <c r="I177" s="377"/>
      <c r="J177" s="377"/>
    </row>
    <row r="178" spans="1:10" ht="15.75" hidden="1">
      <c r="A178" s="886"/>
      <c r="B178" s="377"/>
      <c r="C178" s="377"/>
      <c r="D178" s="377"/>
      <c r="E178" s="889"/>
      <c r="F178" s="893"/>
      <c r="G178" s="889"/>
      <c r="H178" s="889"/>
      <c r="I178" s="377"/>
      <c r="J178" s="377"/>
    </row>
    <row r="179" spans="1:10" ht="12.75">
      <c r="A179" s="377"/>
      <c r="B179" s="377"/>
      <c r="C179" s="377"/>
      <c r="D179" s="377"/>
      <c r="E179" s="377"/>
      <c r="F179" s="377"/>
      <c r="G179" s="377"/>
      <c r="H179" s="377"/>
      <c r="I179" s="377"/>
      <c r="J179" s="377"/>
    </row>
    <row r="180" spans="1:10" ht="12.75">
      <c r="A180" s="377"/>
      <c r="B180" s="377"/>
      <c r="C180" s="377"/>
      <c r="D180" s="377"/>
      <c r="E180" s="377"/>
      <c r="F180" s="882"/>
      <c r="G180" s="882"/>
      <c r="H180" s="377"/>
      <c r="I180" s="377"/>
      <c r="J180" s="377"/>
    </row>
    <row r="181" spans="1:10" ht="12.75">
      <c r="A181" s="377"/>
      <c r="B181" s="377"/>
      <c r="C181" s="377"/>
      <c r="D181" s="377"/>
      <c r="E181" s="377"/>
      <c r="F181" s="377"/>
      <c r="G181" s="377"/>
      <c r="H181" s="377"/>
      <c r="I181" s="377"/>
      <c r="J181" s="377"/>
    </row>
    <row r="182" spans="1:10" ht="12.75">
      <c r="A182" s="377"/>
      <c r="B182" s="377"/>
      <c r="C182" s="377"/>
      <c r="D182" s="377"/>
      <c r="E182" s="377"/>
      <c r="F182" s="377"/>
      <c r="G182" s="377"/>
      <c r="H182" s="377"/>
      <c r="I182" s="377"/>
      <c r="J182" s="377"/>
    </row>
    <row r="183" spans="1:10" ht="12" customHeight="1">
      <c r="A183" s="377"/>
      <c r="B183" s="377"/>
      <c r="C183" s="377"/>
      <c r="D183" s="377"/>
      <c r="E183" s="377"/>
      <c r="F183" s="377"/>
      <c r="G183" s="897"/>
      <c r="H183" s="377"/>
      <c r="I183" s="377"/>
      <c r="J183" s="377"/>
    </row>
    <row r="184" spans="1:10" ht="12.75">
      <c r="A184" s="377"/>
      <c r="B184" s="377"/>
      <c r="C184" s="377"/>
      <c r="D184" s="377"/>
      <c r="E184" s="377"/>
      <c r="F184" s="377"/>
      <c r="G184" s="377"/>
      <c r="H184" s="377"/>
      <c r="I184" s="377"/>
      <c r="J184" s="377"/>
    </row>
    <row r="185" spans="1:10" ht="12.75">
      <c r="A185" s="377"/>
      <c r="B185" s="377"/>
      <c r="C185" s="377"/>
      <c r="D185" s="377"/>
      <c r="E185" s="377"/>
      <c r="F185" s="377"/>
      <c r="G185" s="377"/>
      <c r="H185" s="377"/>
      <c r="I185" s="377"/>
      <c r="J185" s="377"/>
    </row>
    <row r="186" spans="1:10" ht="12.75">
      <c r="A186" s="377"/>
      <c r="B186" s="377"/>
      <c r="C186" s="377"/>
      <c r="D186" s="377"/>
      <c r="E186" s="377"/>
      <c r="F186" s="377"/>
      <c r="G186" s="377"/>
      <c r="H186" s="377"/>
      <c r="I186" s="377"/>
      <c r="J186" s="377"/>
    </row>
    <row r="187" spans="1:10" ht="12.75">
      <c r="A187" s="377"/>
      <c r="B187" s="377"/>
      <c r="C187" s="377"/>
      <c r="D187" s="377"/>
      <c r="E187" s="377"/>
      <c r="F187" s="377"/>
      <c r="G187" s="377"/>
      <c r="H187" s="377"/>
      <c r="I187" s="377"/>
      <c r="J187" s="377"/>
    </row>
    <row r="188" spans="1:10" ht="12.75">
      <c r="A188" s="377"/>
      <c r="B188" s="377"/>
      <c r="C188" s="377"/>
      <c r="D188" s="377"/>
      <c r="E188" s="377"/>
      <c r="F188" s="377"/>
      <c r="G188" s="377"/>
      <c r="H188" s="377"/>
      <c r="I188" s="377"/>
      <c r="J188" s="377"/>
    </row>
    <row r="189" spans="1:10" ht="12.75">
      <c r="A189" s="377"/>
      <c r="B189" s="377"/>
      <c r="C189" s="377"/>
      <c r="D189" s="377"/>
      <c r="E189" s="377"/>
      <c r="F189" s="377"/>
      <c r="G189" s="377"/>
      <c r="H189" s="377"/>
      <c r="I189" s="377"/>
      <c r="J189" s="377"/>
    </row>
    <row r="190" spans="1:10" ht="12.75">
      <c r="A190" s="377"/>
      <c r="B190" s="377"/>
      <c r="C190" s="377"/>
      <c r="D190" s="377"/>
      <c r="E190" s="377"/>
      <c r="F190" s="377"/>
      <c r="G190" s="377"/>
      <c r="H190" s="377"/>
      <c r="I190" s="377"/>
      <c r="J190" s="377"/>
    </row>
    <row r="191" spans="1:10" ht="12.75">
      <c r="A191" s="377"/>
      <c r="B191" s="377"/>
      <c r="C191" s="377"/>
      <c r="D191" s="377"/>
      <c r="E191" s="377"/>
      <c r="F191" s="377"/>
      <c r="G191" s="377"/>
      <c r="H191" s="377"/>
      <c r="I191" s="377"/>
      <c r="J191" s="377"/>
    </row>
    <row r="192" spans="1:10" ht="12.75">
      <c r="A192" s="377"/>
      <c r="B192" s="377"/>
      <c r="C192" s="377"/>
      <c r="D192" s="377"/>
      <c r="E192" s="377"/>
      <c r="F192" s="377"/>
      <c r="G192" s="377"/>
      <c r="H192" s="377"/>
      <c r="I192" s="377"/>
      <c r="J192" s="377"/>
    </row>
    <row r="193" spans="1:10" ht="12.75">
      <c r="A193" s="377"/>
      <c r="B193" s="377"/>
      <c r="C193" s="377"/>
      <c r="D193" s="377"/>
      <c r="E193" s="377"/>
      <c r="F193" s="377"/>
      <c r="G193" s="377"/>
      <c r="H193" s="377"/>
      <c r="I193" s="377"/>
      <c r="J193" s="377"/>
    </row>
    <row r="194" spans="1:10" ht="12.75">
      <c r="A194" s="377"/>
      <c r="B194" s="377"/>
      <c r="C194" s="377"/>
      <c r="D194" s="377"/>
      <c r="E194" s="377"/>
      <c r="F194" s="377"/>
      <c r="G194" s="377"/>
      <c r="H194" s="377"/>
      <c r="I194" s="377"/>
      <c r="J194" s="377"/>
    </row>
    <row r="195" spans="1:10" ht="12.75">
      <c r="A195" s="377"/>
      <c r="B195" s="377"/>
      <c r="C195" s="377"/>
      <c r="D195" s="377"/>
      <c r="E195" s="377"/>
      <c r="F195" s="377"/>
      <c r="G195" s="377"/>
      <c r="H195" s="377"/>
      <c r="I195" s="377"/>
      <c r="J195" s="377"/>
    </row>
    <row r="196" spans="1:10" ht="12.75">
      <c r="A196" s="377"/>
      <c r="B196" s="377"/>
      <c r="C196" s="377"/>
      <c r="D196" s="377"/>
      <c r="E196" s="377"/>
      <c r="F196" s="377"/>
      <c r="G196" s="377"/>
      <c r="H196" s="377"/>
      <c r="I196" s="377"/>
      <c r="J196" s="377"/>
    </row>
    <row r="197" spans="1:10" ht="12.75">
      <c r="A197" s="377"/>
      <c r="B197" s="377"/>
      <c r="C197" s="377"/>
      <c r="D197" s="377"/>
      <c r="E197" s="377"/>
      <c r="F197" s="377"/>
      <c r="G197" s="377"/>
      <c r="H197" s="377"/>
      <c r="I197" s="377"/>
      <c r="J197" s="377"/>
    </row>
    <row r="198" spans="1:10" ht="12.75">
      <c r="A198" s="377"/>
      <c r="B198" s="377"/>
      <c r="C198" s="377"/>
      <c r="D198" s="377"/>
      <c r="E198" s="377"/>
      <c r="F198" s="377"/>
      <c r="G198" s="377"/>
      <c r="H198" s="377"/>
      <c r="I198" s="377"/>
      <c r="J198" s="377"/>
    </row>
    <row r="199" spans="1:10" ht="12.75">
      <c r="A199" s="377"/>
      <c r="B199" s="377"/>
      <c r="C199" s="377"/>
      <c r="D199" s="377"/>
      <c r="E199" s="377"/>
      <c r="F199" s="377"/>
      <c r="G199" s="377"/>
      <c r="H199" s="377"/>
      <c r="I199" s="377"/>
      <c r="J199" s="377"/>
    </row>
    <row r="200" spans="1:10" ht="12.75">
      <c r="A200" s="377"/>
      <c r="B200" s="377"/>
      <c r="C200" s="377"/>
      <c r="D200" s="377"/>
      <c r="E200" s="377"/>
      <c r="F200" s="377"/>
      <c r="G200" s="377"/>
      <c r="H200" s="377"/>
      <c r="I200" s="377"/>
      <c r="J200" s="377"/>
    </row>
    <row r="201" spans="1:10" ht="12.75">
      <c r="A201" s="377"/>
      <c r="B201" s="377"/>
      <c r="C201" s="377"/>
      <c r="D201" s="377"/>
      <c r="E201" s="377"/>
      <c r="F201" s="377"/>
      <c r="G201" s="377"/>
      <c r="H201" s="377"/>
      <c r="I201" s="377"/>
      <c r="J201" s="377"/>
    </row>
    <row r="202" spans="1:10" ht="12.75">
      <c r="A202" s="377"/>
      <c r="B202" s="377"/>
      <c r="C202" s="377"/>
      <c r="D202" s="377"/>
      <c r="E202" s="377"/>
      <c r="F202" s="377"/>
      <c r="G202" s="377"/>
      <c r="H202" s="377"/>
      <c r="I202" s="377"/>
      <c r="J202" s="377"/>
    </row>
    <row r="203" spans="1:10" ht="12.75">
      <c r="A203" s="377"/>
      <c r="B203" s="377"/>
      <c r="C203" s="377"/>
      <c r="D203" s="377"/>
      <c r="E203" s="377"/>
      <c r="F203" s="377"/>
      <c r="G203" s="377"/>
      <c r="H203" s="377"/>
      <c r="I203" s="377"/>
      <c r="J203" s="377"/>
    </row>
    <row r="204" spans="1:10" ht="12.75">
      <c r="A204" s="377"/>
      <c r="B204" s="377"/>
      <c r="C204" s="377"/>
      <c r="D204" s="377"/>
      <c r="E204" s="377"/>
      <c r="F204" s="377"/>
      <c r="G204" s="377"/>
      <c r="H204" s="377"/>
      <c r="I204" s="377"/>
      <c r="J204" s="377"/>
    </row>
    <row r="205" spans="1:10" ht="12.75">
      <c r="A205" s="377"/>
      <c r="B205" s="377"/>
      <c r="C205" s="377"/>
      <c r="D205" s="377"/>
      <c r="E205" s="377"/>
      <c r="F205" s="377"/>
      <c r="G205" s="377"/>
      <c r="H205" s="377"/>
      <c r="I205" s="377"/>
      <c r="J205" s="377"/>
    </row>
    <row r="206" spans="1:10" ht="12.75">
      <c r="A206" s="377"/>
      <c r="B206" s="377"/>
      <c r="C206" s="377"/>
      <c r="D206" s="377"/>
      <c r="E206" s="377"/>
      <c r="F206" s="377"/>
      <c r="G206" s="377"/>
      <c r="H206" s="377"/>
      <c r="I206" s="377"/>
      <c r="J206" s="377"/>
    </row>
    <row r="207" spans="1:10" ht="12.75">
      <c r="A207" s="377"/>
      <c r="B207" s="377"/>
      <c r="C207" s="377"/>
      <c r="D207" s="377"/>
      <c r="E207" s="377"/>
      <c r="F207" s="377"/>
      <c r="G207" s="377"/>
      <c r="H207" s="377"/>
      <c r="I207" s="377"/>
      <c r="J207" s="377"/>
    </row>
    <row r="208" spans="1:10" ht="12.75">
      <c r="A208" s="377"/>
      <c r="B208" s="377"/>
      <c r="C208" s="377"/>
      <c r="D208" s="377"/>
      <c r="E208" s="377"/>
      <c r="F208" s="377"/>
      <c r="G208" s="377"/>
      <c r="H208" s="377"/>
      <c r="I208" s="377"/>
      <c r="J208" s="377"/>
    </row>
    <row r="209" spans="1:10" ht="12.75">
      <c r="A209" s="377"/>
      <c r="B209" s="377"/>
      <c r="C209" s="377"/>
      <c r="D209" s="377"/>
      <c r="E209" s="377"/>
      <c r="F209" s="377"/>
      <c r="G209" s="377"/>
      <c r="H209" s="377"/>
      <c r="I209" s="377"/>
      <c r="J209" s="377"/>
    </row>
    <row r="210" spans="1:10" ht="12.75">
      <c r="A210" s="377"/>
      <c r="B210" s="377"/>
      <c r="C210" s="377"/>
      <c r="D210" s="377"/>
      <c r="E210" s="377"/>
      <c r="F210" s="377"/>
      <c r="G210" s="377"/>
      <c r="H210" s="377"/>
      <c r="I210" s="377"/>
      <c r="J210" s="377"/>
    </row>
    <row r="211" spans="1:10" ht="12.75">
      <c r="A211" s="377"/>
      <c r="B211" s="377"/>
      <c r="C211" s="377"/>
      <c r="D211" s="377"/>
      <c r="E211" s="377"/>
      <c r="F211" s="377"/>
      <c r="G211" s="377"/>
      <c r="H211" s="377"/>
      <c r="I211" s="377"/>
      <c r="J211" s="377"/>
    </row>
    <row r="212" spans="1:10" ht="12.75">
      <c r="A212" s="377"/>
      <c r="B212" s="377"/>
      <c r="C212" s="377"/>
      <c r="D212" s="377"/>
      <c r="E212" s="377"/>
      <c r="F212" s="377"/>
      <c r="G212" s="377"/>
      <c r="H212" s="377"/>
      <c r="I212" s="377"/>
      <c r="J212" s="377"/>
    </row>
    <row r="213" spans="1:10" ht="12.75">
      <c r="A213" s="377"/>
      <c r="B213" s="377"/>
      <c r="C213" s="377"/>
      <c r="D213" s="377"/>
      <c r="E213" s="377"/>
      <c r="F213" s="377"/>
      <c r="G213" s="377"/>
      <c r="H213" s="377"/>
      <c r="I213" s="377"/>
      <c r="J213" s="377"/>
    </row>
    <row r="214" spans="1:10" ht="12.75">
      <c r="A214" s="377"/>
      <c r="B214" s="377"/>
      <c r="C214" s="377"/>
      <c r="D214" s="377"/>
      <c r="E214" s="377"/>
      <c r="F214" s="377"/>
      <c r="G214" s="377"/>
      <c r="H214" s="377"/>
      <c r="I214" s="377"/>
      <c r="J214" s="377"/>
    </row>
    <row r="215" spans="1:10" ht="12.75">
      <c r="A215" s="377"/>
      <c r="B215" s="377"/>
      <c r="C215" s="377"/>
      <c r="D215" s="377"/>
      <c r="E215" s="377"/>
      <c r="F215" s="377"/>
      <c r="G215" s="377"/>
      <c r="H215" s="377"/>
      <c r="I215" s="377"/>
      <c r="J215" s="377"/>
    </row>
    <row r="216" spans="1:10" ht="12.75">
      <c r="A216" s="377"/>
      <c r="B216" s="377"/>
      <c r="C216" s="377"/>
      <c r="D216" s="377"/>
      <c r="E216" s="377"/>
      <c r="F216" s="377"/>
      <c r="G216" s="377"/>
      <c r="H216" s="377"/>
      <c r="I216" s="377"/>
      <c r="J216" s="377"/>
    </row>
    <row r="217" spans="1:10" ht="12.75">
      <c r="A217" s="377"/>
      <c r="B217" s="377"/>
      <c r="C217" s="377"/>
      <c r="D217" s="377"/>
      <c r="E217" s="377"/>
      <c r="F217" s="377"/>
      <c r="G217" s="377"/>
      <c r="H217" s="377"/>
      <c r="I217" s="377"/>
      <c r="J217" s="377"/>
    </row>
    <row r="218" spans="1:10" ht="12.75">
      <c r="A218" s="377"/>
      <c r="B218" s="377"/>
      <c r="C218" s="377"/>
      <c r="D218" s="377"/>
      <c r="E218" s="377"/>
      <c r="F218" s="377"/>
      <c r="G218" s="377"/>
      <c r="H218" s="377"/>
      <c r="I218" s="377"/>
      <c r="J218" s="377"/>
    </row>
    <row r="219" spans="1:10" ht="12.75">
      <c r="A219" s="377"/>
      <c r="B219" s="377"/>
      <c r="C219" s="377"/>
      <c r="D219" s="377"/>
      <c r="E219" s="377"/>
      <c r="F219" s="377"/>
      <c r="G219" s="377"/>
      <c r="H219" s="377"/>
      <c r="I219" s="377"/>
      <c r="J219" s="377"/>
    </row>
    <row r="220" spans="1:10" ht="12.75">
      <c r="A220" s="377"/>
      <c r="B220" s="377"/>
      <c r="C220" s="377"/>
      <c r="D220" s="377"/>
      <c r="E220" s="377"/>
      <c r="F220" s="377"/>
      <c r="G220" s="377"/>
      <c r="H220" s="377"/>
      <c r="I220" s="377"/>
      <c r="J220" s="377"/>
    </row>
    <row r="221" spans="1:10" ht="12.75">
      <c r="A221" s="377"/>
      <c r="B221" s="377"/>
      <c r="C221" s="377"/>
      <c r="D221" s="377"/>
      <c r="E221" s="377"/>
      <c r="F221" s="377"/>
      <c r="G221" s="377"/>
      <c r="H221" s="377"/>
      <c r="I221" s="377"/>
      <c r="J221" s="377"/>
    </row>
    <row r="222" spans="1:10" ht="12.75">
      <c r="A222" s="377"/>
      <c r="B222" s="377"/>
      <c r="C222" s="377"/>
      <c r="D222" s="377"/>
      <c r="E222" s="377"/>
      <c r="F222" s="377"/>
      <c r="G222" s="377"/>
      <c r="H222" s="377"/>
      <c r="I222" s="377"/>
      <c r="J222" s="377"/>
    </row>
    <row r="223" spans="1:10" ht="12.75">
      <c r="A223" s="377"/>
      <c r="B223" s="377"/>
      <c r="C223" s="377"/>
      <c r="D223" s="377"/>
      <c r="E223" s="377"/>
      <c r="F223" s="377"/>
      <c r="G223" s="377"/>
      <c r="H223" s="377"/>
      <c r="I223" s="377"/>
      <c r="J223" s="377"/>
    </row>
    <row r="224" spans="1:10" ht="12.75">
      <c r="A224" s="377"/>
      <c r="B224" s="377"/>
      <c r="C224" s="377"/>
      <c r="D224" s="377"/>
      <c r="E224" s="377"/>
      <c r="F224" s="377"/>
      <c r="G224" s="377"/>
      <c r="H224" s="377"/>
      <c r="I224" s="377"/>
      <c r="J224" s="377"/>
    </row>
    <row r="225" spans="1:10" ht="12.75">
      <c r="A225" s="377"/>
      <c r="B225" s="377"/>
      <c r="C225" s="377"/>
      <c r="D225" s="377"/>
      <c r="E225" s="377"/>
      <c r="F225" s="377"/>
      <c r="G225" s="377"/>
      <c r="H225" s="377"/>
      <c r="I225" s="377"/>
      <c r="J225" s="377"/>
    </row>
    <row r="226" spans="1:10" ht="12.75">
      <c r="A226" s="377"/>
      <c r="B226" s="377"/>
      <c r="C226" s="377"/>
      <c r="D226" s="377"/>
      <c r="E226" s="377"/>
      <c r="F226" s="377"/>
      <c r="G226" s="377"/>
      <c r="H226" s="377"/>
      <c r="I226" s="377"/>
      <c r="J226" s="377"/>
    </row>
    <row r="227" spans="1:10" ht="12.75">
      <c r="A227" s="377"/>
      <c r="B227" s="377"/>
      <c r="C227" s="377"/>
      <c r="D227" s="377"/>
      <c r="E227" s="377"/>
      <c r="F227" s="377"/>
      <c r="G227" s="377"/>
      <c r="H227" s="377"/>
      <c r="I227" s="377"/>
      <c r="J227" s="377"/>
    </row>
    <row r="228" spans="1:10" ht="12.75">
      <c r="A228" s="377"/>
      <c r="B228" s="377"/>
      <c r="C228" s="377"/>
      <c r="D228" s="377"/>
      <c r="E228" s="377"/>
      <c r="F228" s="377"/>
      <c r="G228" s="377"/>
      <c r="H228" s="377"/>
      <c r="I228" s="377"/>
      <c r="J228" s="377"/>
    </row>
    <row r="229" spans="1:10" ht="12.75">
      <c r="A229" s="377"/>
      <c r="B229" s="377"/>
      <c r="C229" s="377"/>
      <c r="D229" s="377"/>
      <c r="E229" s="377"/>
      <c r="F229" s="377"/>
      <c r="G229" s="377"/>
      <c r="H229" s="377"/>
      <c r="I229" s="377"/>
      <c r="J229" s="377"/>
    </row>
    <row r="230" spans="1:10" ht="12.75">
      <c r="A230" s="377"/>
      <c r="B230" s="377"/>
      <c r="C230" s="377"/>
      <c r="D230" s="377"/>
      <c r="E230" s="377"/>
      <c r="F230" s="377"/>
      <c r="G230" s="377"/>
      <c r="H230" s="377"/>
      <c r="I230" s="377"/>
      <c r="J230" s="377"/>
    </row>
    <row r="231" spans="1:10" ht="12.75">
      <c r="A231" s="377"/>
      <c r="B231" s="377"/>
      <c r="C231" s="377"/>
      <c r="D231" s="377"/>
      <c r="E231" s="377"/>
      <c r="F231" s="377"/>
      <c r="G231" s="377"/>
      <c r="H231" s="377"/>
      <c r="I231" s="377"/>
      <c r="J231" s="377"/>
    </row>
    <row r="232" spans="1:10" ht="12.75">
      <c r="A232" s="377"/>
      <c r="B232" s="377"/>
      <c r="C232" s="377"/>
      <c r="D232" s="377"/>
      <c r="E232" s="377"/>
      <c r="F232" s="377"/>
      <c r="G232" s="377"/>
      <c r="H232" s="377"/>
      <c r="I232" s="377"/>
      <c r="J232" s="377"/>
    </row>
    <row r="233" spans="1:10" ht="12.75">
      <c r="A233" s="377"/>
      <c r="B233" s="377"/>
      <c r="C233" s="377"/>
      <c r="D233" s="377"/>
      <c r="E233" s="377"/>
      <c r="F233" s="377"/>
      <c r="G233" s="377"/>
      <c r="H233" s="377"/>
      <c r="I233" s="377"/>
      <c r="J233" s="377"/>
    </row>
    <row r="234" spans="1:10" ht="12.75">
      <c r="A234" s="377"/>
      <c r="B234" s="377"/>
      <c r="C234" s="377"/>
      <c r="D234" s="377"/>
      <c r="E234" s="377"/>
      <c r="F234" s="377"/>
      <c r="G234" s="377"/>
      <c r="H234" s="377"/>
      <c r="I234" s="377"/>
      <c r="J234" s="377"/>
    </row>
    <row r="235" spans="1:10" ht="12.75">
      <c r="A235" s="377"/>
      <c r="B235" s="377"/>
      <c r="C235" s="377"/>
      <c r="D235" s="377"/>
      <c r="E235" s="377"/>
      <c r="F235" s="377"/>
      <c r="G235" s="377"/>
      <c r="H235" s="377"/>
      <c r="I235" s="377"/>
      <c r="J235" s="377"/>
    </row>
    <row r="236" spans="1:10" ht="12.75">
      <c r="A236" s="377"/>
      <c r="B236" s="377"/>
      <c r="C236" s="377"/>
      <c r="D236" s="377"/>
      <c r="E236" s="377"/>
      <c r="F236" s="377"/>
      <c r="G236" s="377"/>
      <c r="H236" s="377"/>
      <c r="I236" s="377"/>
      <c r="J236" s="377"/>
    </row>
    <row r="237" spans="1:10" ht="12.75">
      <c r="A237" s="377"/>
      <c r="B237" s="377"/>
      <c r="C237" s="377"/>
      <c r="D237" s="377"/>
      <c r="E237" s="377"/>
      <c r="F237" s="377"/>
      <c r="G237" s="377"/>
      <c r="H237" s="377"/>
      <c r="I237" s="377"/>
      <c r="J237" s="377"/>
    </row>
    <row r="238" spans="1:10" ht="12.75">
      <c r="A238" s="377"/>
      <c r="B238" s="377"/>
      <c r="C238" s="377"/>
      <c r="D238" s="377"/>
      <c r="E238" s="377"/>
      <c r="F238" s="377"/>
      <c r="G238" s="377"/>
      <c r="H238" s="377"/>
      <c r="I238" s="377"/>
      <c r="J238" s="377"/>
    </row>
    <row r="239" spans="1:10" ht="12.75">
      <c r="A239" s="377"/>
      <c r="B239" s="377"/>
      <c r="C239" s="377"/>
      <c r="D239" s="377"/>
      <c r="E239" s="377"/>
      <c r="F239" s="377"/>
      <c r="G239" s="377"/>
      <c r="H239" s="377"/>
      <c r="I239" s="377"/>
      <c r="J239" s="377"/>
    </row>
    <row r="240" spans="1:10" ht="12.75">
      <c r="A240" s="377"/>
      <c r="B240" s="377"/>
      <c r="C240" s="377"/>
      <c r="D240" s="377"/>
      <c r="E240" s="377"/>
      <c r="F240" s="377"/>
      <c r="G240" s="377"/>
      <c r="H240" s="377"/>
      <c r="I240" s="377"/>
      <c r="J240" s="377"/>
    </row>
    <row r="241" spans="1:10" ht="12.75">
      <c r="A241" s="377"/>
      <c r="B241" s="377"/>
      <c r="C241" s="377"/>
      <c r="D241" s="377"/>
      <c r="E241" s="377"/>
      <c r="F241" s="377"/>
      <c r="G241" s="377"/>
      <c r="H241" s="377"/>
      <c r="I241" s="377"/>
      <c r="J241" s="377"/>
    </row>
    <row r="242" spans="1:10" ht="12.75">
      <c r="A242" s="377"/>
      <c r="B242" s="377"/>
      <c r="C242" s="377"/>
      <c r="D242" s="377"/>
      <c r="E242" s="377"/>
      <c r="F242" s="377"/>
      <c r="G242" s="377"/>
      <c r="H242" s="377"/>
      <c r="I242" s="377"/>
      <c r="J242" s="377"/>
    </row>
    <row r="243" spans="1:10" ht="12.75">
      <c r="A243" s="377"/>
      <c r="B243" s="377"/>
      <c r="C243" s="377"/>
      <c r="D243" s="377"/>
      <c r="E243" s="377"/>
      <c r="F243" s="377"/>
      <c r="G243" s="377"/>
      <c r="H243" s="377"/>
      <c r="I243" s="377"/>
      <c r="J243" s="377"/>
    </row>
    <row r="244" spans="1:10" ht="12.75">
      <c r="A244" s="377"/>
      <c r="B244" s="377"/>
      <c r="C244" s="377"/>
      <c r="D244" s="377"/>
      <c r="E244" s="377"/>
      <c r="F244" s="377"/>
      <c r="G244" s="377"/>
      <c r="H244" s="377"/>
      <c r="I244" s="377"/>
      <c r="J244" s="377"/>
    </row>
    <row r="245" spans="1:10" ht="12.75">
      <c r="A245" s="377"/>
      <c r="B245" s="377"/>
      <c r="C245" s="377"/>
      <c r="D245" s="377"/>
      <c r="E245" s="377"/>
      <c r="F245" s="377"/>
      <c r="G245" s="377"/>
      <c r="H245" s="377"/>
      <c r="I245" s="377"/>
      <c r="J245" s="377"/>
    </row>
    <row r="246" spans="1:10" ht="12.75">
      <c r="A246" s="377"/>
      <c r="B246" s="377"/>
      <c r="C246" s="377"/>
      <c r="D246" s="377"/>
      <c r="E246" s="377"/>
      <c r="F246" s="377"/>
      <c r="G246" s="377"/>
      <c r="H246" s="377"/>
      <c r="I246" s="377"/>
      <c r="J246" s="377"/>
    </row>
    <row r="247" spans="1:10" ht="12.75">
      <c r="A247" s="377"/>
      <c r="B247" s="377"/>
      <c r="C247" s="377"/>
      <c r="D247" s="377"/>
      <c r="E247" s="377"/>
      <c r="F247" s="377"/>
      <c r="G247" s="377"/>
      <c r="H247" s="377"/>
      <c r="I247" s="377"/>
      <c r="J247" s="377"/>
    </row>
    <row r="248" spans="1:10" ht="12.75">
      <c r="A248" s="377"/>
      <c r="B248" s="377"/>
      <c r="C248" s="377"/>
      <c r="D248" s="377"/>
      <c r="E248" s="377"/>
      <c r="F248" s="377"/>
      <c r="G248" s="377"/>
      <c r="H248" s="377"/>
      <c r="I248" s="377"/>
      <c r="J248" s="377"/>
    </row>
    <row r="249" spans="1:10" ht="12.75">
      <c r="A249" s="377"/>
      <c r="B249" s="377"/>
      <c r="C249" s="377"/>
      <c r="D249" s="377"/>
      <c r="E249" s="377"/>
      <c r="F249" s="377"/>
      <c r="G249" s="377"/>
      <c r="H249" s="377"/>
      <c r="I249" s="377"/>
      <c r="J249" s="377"/>
    </row>
  </sheetData>
  <sheetProtection/>
  <mergeCells count="4">
    <mergeCell ref="A1:I1"/>
    <mergeCell ref="A2:I2"/>
    <mergeCell ref="A3:I3"/>
    <mergeCell ref="A4:I4"/>
  </mergeCells>
  <printOptions horizontalCentered="1"/>
  <pageMargins left="0.5511811023622047" right="0.2362204724409449" top="0.64" bottom="0.2755905511811024" header="0" footer="0"/>
  <pageSetup horizontalDpi="300" verticalDpi="300" orientation="portrait" scale="52" r:id="rId1"/>
  <rowBreaks count="1" manualBreakCount="1">
    <brk id="172" max="8" man="1"/>
  </rowBreaks>
</worksheet>
</file>

<file path=xl/worksheets/sheet11.xml><?xml version="1.0" encoding="utf-8"?>
<worksheet xmlns="http://schemas.openxmlformats.org/spreadsheetml/2006/main" xmlns:r="http://schemas.openxmlformats.org/officeDocument/2006/relationships">
  <dimension ref="A1:H95"/>
  <sheetViews>
    <sheetView view="pageBreakPreview" zoomScale="60" zoomScaleNormal="70" zoomScalePageLayoutView="0" workbookViewId="0" topLeftCell="A38">
      <selection activeCell="B87" sqref="B87"/>
    </sheetView>
  </sheetViews>
  <sheetFormatPr defaultColWidth="11.421875" defaultRowHeight="12.75"/>
  <cols>
    <col min="1" max="1" width="69.140625" style="0" customWidth="1"/>
    <col min="2" max="2" width="20.7109375" style="0" customWidth="1"/>
    <col min="3" max="3" width="47.28125" style="0" customWidth="1"/>
    <col min="4" max="4" width="21.57421875" style="1177" customWidth="1"/>
    <col min="5" max="5" width="17.28125" style="0" customWidth="1"/>
    <col min="6" max="6" width="13.421875" style="0" bestFit="1" customWidth="1"/>
  </cols>
  <sheetData>
    <row r="1" spans="1:5" ht="15">
      <c r="A1" s="1372" t="s">
        <v>66</v>
      </c>
      <c r="B1" s="1372"/>
      <c r="C1" s="1372"/>
      <c r="D1" s="1372"/>
      <c r="E1" s="1372"/>
    </row>
    <row r="2" spans="1:5" ht="15">
      <c r="A2" s="1372" t="s">
        <v>62</v>
      </c>
      <c r="B2" s="1372"/>
      <c r="C2" s="1372"/>
      <c r="D2" s="1372"/>
      <c r="E2" s="1372"/>
    </row>
    <row r="3" spans="1:5" ht="15">
      <c r="A3" s="1372" t="s">
        <v>855</v>
      </c>
      <c r="B3" s="1372"/>
      <c r="C3" s="1372"/>
      <c r="D3" s="1372"/>
      <c r="E3" s="1372"/>
    </row>
    <row r="4" spans="1:5" ht="15">
      <c r="A4" s="1373" t="s">
        <v>763</v>
      </c>
      <c r="B4" s="1373"/>
      <c r="C4" s="1373"/>
      <c r="D4" s="1373"/>
      <c r="E4" s="1373"/>
    </row>
    <row r="5" spans="1:5" ht="15.75" thickBot="1">
      <c r="A5" s="1146"/>
      <c r="B5" s="1147"/>
      <c r="C5" s="1147"/>
      <c r="D5" s="1148"/>
      <c r="E5" s="1149"/>
    </row>
    <row r="6" spans="1:5" ht="30.75" customHeight="1" thickBot="1">
      <c r="A6" s="1150" t="s">
        <v>40</v>
      </c>
      <c r="B6" s="1151" t="s">
        <v>853</v>
      </c>
      <c r="C6" s="1150" t="s">
        <v>40</v>
      </c>
      <c r="D6" s="1152" t="s">
        <v>764</v>
      </c>
      <c r="E6" s="1153" t="s">
        <v>765</v>
      </c>
    </row>
    <row r="7" spans="1:5" ht="15">
      <c r="A7" s="1260" t="s">
        <v>766</v>
      </c>
      <c r="B7" s="1261">
        <f>+B9+B16</f>
        <v>3317026817.624933</v>
      </c>
      <c r="C7" s="1262" t="s">
        <v>766</v>
      </c>
      <c r="D7" s="1263">
        <f>+D9+D16</f>
        <v>3012953885.015859</v>
      </c>
      <c r="E7" s="1154">
        <f>+(B7-D7)/D7</f>
        <v>0.10092186744752421</v>
      </c>
    </row>
    <row r="8" spans="1:5" ht="15">
      <c r="A8" s="1264"/>
      <c r="B8" s="1265"/>
      <c r="C8" s="1266"/>
      <c r="D8" s="1155"/>
      <c r="E8" s="1156"/>
    </row>
    <row r="9" spans="1:5" ht="15">
      <c r="A9" s="1267" t="s">
        <v>767</v>
      </c>
      <c r="B9" s="1157">
        <f>SUM(B10:B14)</f>
        <v>1056908057.3940846</v>
      </c>
      <c r="C9" s="1267" t="s">
        <v>767</v>
      </c>
      <c r="D9" s="1155">
        <f>SUM(D10:D14)</f>
        <v>943691063.2876768</v>
      </c>
      <c r="E9" s="1156">
        <f aca="true" t="shared" si="0" ref="E9:E14">+(B9-D9)/D9</f>
        <v>0.11997251909112808</v>
      </c>
    </row>
    <row r="10" spans="1:5" ht="14.25">
      <c r="A10" s="1268" t="s">
        <v>768</v>
      </c>
      <c r="B10" s="1158">
        <f>+'Nómina y honorarios 2011'!Y36+'Nómina y honorarios 2011'!Y37+'Nómina y honorarios 2011'!Y38+'Nómina y honorarios 2011'!Y41+'Nómina y honorarios 2011'!Y42+'Nómina y honorarios 2011'!Y43+'Nómina y honorarios 2011'!Y29+'Nómina y honorarios 2011'!Y28+(('Nómina y honorarios 2011'!Y26+'Nómina y honorarios 2011'!Y32)/4)</f>
        <v>299212649.8566582</v>
      </c>
      <c r="C10" s="1268" t="s">
        <v>768</v>
      </c>
      <c r="D10" s="1158">
        <f>311792203.377753-77231767</f>
        <v>234560436.37775302</v>
      </c>
      <c r="E10" s="1159">
        <f t="shared" si="0"/>
        <v>0.2756313659597078</v>
      </c>
    </row>
    <row r="11" spans="1:5" ht="14.25">
      <c r="A11" s="1160" t="s">
        <v>769</v>
      </c>
      <c r="B11" s="1158">
        <f>+('Nómina y honorarios 2011'!Y26+'Nómina y honorarios 2011'!Y32)/4</f>
        <v>32138965.1170947</v>
      </c>
      <c r="C11" s="1160" t="s">
        <v>769</v>
      </c>
      <c r="D11" s="1158">
        <v>30948648.95248948</v>
      </c>
      <c r="E11" s="1159">
        <f t="shared" si="0"/>
        <v>0.03846100572701966</v>
      </c>
    </row>
    <row r="12" spans="1:5" ht="14.25">
      <c r="A12" s="1160" t="s">
        <v>770</v>
      </c>
      <c r="B12" s="1158">
        <f>+'Nómina y honorarios 2011'!Y27+(('Nómina y honorarios 2011'!Y26+'Nómina y honorarios 2011'!Y32)/4)</f>
        <v>97332097.77334382</v>
      </c>
      <c r="C12" s="1160" t="s">
        <v>770</v>
      </c>
      <c r="D12" s="1158">
        <v>94138660.13863888</v>
      </c>
      <c r="E12" s="1159">
        <f t="shared" si="0"/>
        <v>0.03392270115170459</v>
      </c>
    </row>
    <row r="13" spans="1:5" ht="14.25">
      <c r="A13" s="1160" t="s">
        <v>771</v>
      </c>
      <c r="B13" s="1158">
        <f>+'Nómina y honorarios 2011'!Y30+'Nómina y honorarios 2011'!Y31+'Nómina y honorarios 2011'!Y33+(('Nómina y honorarios 2011'!Y26+'Nómina y honorarios 2011'!Y32)/4)</f>
        <v>451524911.5548878</v>
      </c>
      <c r="C13" s="1160" t="s">
        <v>771</v>
      </c>
      <c r="D13" s="1158">
        <v>437272765.78559536</v>
      </c>
      <c r="E13" s="1159">
        <f t="shared" si="0"/>
        <v>0.03259326188240262</v>
      </c>
    </row>
    <row r="14" spans="1:5" ht="14.25">
      <c r="A14" s="1160" t="s">
        <v>32</v>
      </c>
      <c r="B14" s="1161">
        <f>+GASTOS!B36+GASTOS!B19+GASTOS!B18</f>
        <v>176699433.0921</v>
      </c>
      <c r="C14" s="1160" t="s">
        <v>32</v>
      </c>
      <c r="D14" s="1161">
        <f>+'[19]ECO'!$F$20+'[19]ECO'!$F$21+'[19]ECO'!$F$33</f>
        <v>146770552.0332</v>
      </c>
      <c r="E14" s="1159">
        <f t="shared" si="0"/>
        <v>0.203916116988713</v>
      </c>
    </row>
    <row r="15" spans="1:5" ht="15">
      <c r="A15" s="1160"/>
      <c r="B15" s="1157"/>
      <c r="C15" s="1160"/>
      <c r="D15" s="1155"/>
      <c r="E15" s="1156"/>
    </row>
    <row r="16" spans="1:5" ht="15">
      <c r="A16" s="1162" t="s">
        <v>42</v>
      </c>
      <c r="B16" s="1157">
        <f>+B17+B18+B19+B20</f>
        <v>2260118760.2308483</v>
      </c>
      <c r="C16" s="1162" t="s">
        <v>42</v>
      </c>
      <c r="D16" s="1155">
        <f>+D17+D18+D19+D20</f>
        <v>2069262821.7281823</v>
      </c>
      <c r="E16" s="1156">
        <f>+(B16-D16)/D16</f>
        <v>0.09223378320945678</v>
      </c>
    </row>
    <row r="17" spans="1:5" ht="14.25">
      <c r="A17" s="1268" t="s">
        <v>768</v>
      </c>
      <c r="B17" s="1161">
        <f>+GASTOS!B42</f>
        <v>1738258330.9008482</v>
      </c>
      <c r="C17" s="1268" t="s">
        <v>768</v>
      </c>
      <c r="D17" s="1158">
        <f>+'Ejecución gastos 2010'!L42</f>
        <v>1298082267.4841824</v>
      </c>
      <c r="E17" s="1159">
        <f>+(B17-D17)/D17</f>
        <v>0.3390972008806287</v>
      </c>
    </row>
    <row r="18" spans="1:5" ht="14.25">
      <c r="A18" s="1160" t="s">
        <v>769</v>
      </c>
      <c r="B18" s="1161">
        <f>+GASTOS!B52</f>
        <v>106635767.4</v>
      </c>
      <c r="C18" s="1160" t="s">
        <v>769</v>
      </c>
      <c r="D18" s="1158">
        <f>+'Ejecución gastos 2010'!L53</f>
        <v>150344432.56</v>
      </c>
      <c r="E18" s="1159">
        <f>+(B18-D18)/D18</f>
        <v>-0.29072353671996853</v>
      </c>
    </row>
    <row r="19" spans="1:5" ht="14.25">
      <c r="A19" s="1160" t="s">
        <v>770</v>
      </c>
      <c r="B19" s="1161">
        <f>+GASTOS!B58</f>
        <v>184955619.13000003</v>
      </c>
      <c r="C19" s="1160" t="s">
        <v>770</v>
      </c>
      <c r="D19" s="1158">
        <f>+'Ejecución gastos 2010'!L59</f>
        <v>270342657.684</v>
      </c>
      <c r="E19" s="1159">
        <f>+(B19-D19)/D19</f>
        <v>-0.31584744814415405</v>
      </c>
    </row>
    <row r="20" spans="1:5" ht="14.25">
      <c r="A20" s="1160" t="s">
        <v>771</v>
      </c>
      <c r="B20" s="1161">
        <f>+GASTOS!B62</f>
        <v>230269042.8</v>
      </c>
      <c r="C20" s="1160" t="s">
        <v>771</v>
      </c>
      <c r="D20" s="1158">
        <f>+'Ejecución gastos 2010'!L64</f>
        <v>350493464</v>
      </c>
      <c r="E20" s="1159">
        <f>+(B20-D20)/D20</f>
        <v>-0.34301473079680594</v>
      </c>
    </row>
    <row r="21" spans="1:5" ht="15">
      <c r="A21" s="1269"/>
      <c r="B21" s="1157"/>
      <c r="C21" s="1269"/>
      <c r="D21" s="1158"/>
      <c r="E21" s="1156"/>
    </row>
    <row r="22" spans="1:5" ht="15">
      <c r="A22" s="1162" t="s">
        <v>772</v>
      </c>
      <c r="B22" s="1270">
        <f>+B24+B34</f>
        <v>2691521718.0067573</v>
      </c>
      <c r="C22" s="1162" t="s">
        <v>772</v>
      </c>
      <c r="D22" s="1271">
        <f>+D24+D34</f>
        <v>3382832551.5926476</v>
      </c>
      <c r="E22" s="1156">
        <f>+(B22-D22)/D22</f>
        <v>-0.20435857319051134</v>
      </c>
    </row>
    <row r="23" spans="1:5" ht="15">
      <c r="A23" s="1163"/>
      <c r="B23" s="1270"/>
      <c r="C23" s="1163"/>
      <c r="D23" s="1271"/>
      <c r="E23" s="1156"/>
    </row>
    <row r="24" spans="1:5" ht="15">
      <c r="A24" s="1267" t="s">
        <v>767</v>
      </c>
      <c r="B24" s="1270">
        <f>+B25+B26+B27+B28+B29+B30+B32+B31</f>
        <v>302616237.2603573</v>
      </c>
      <c r="C24" s="1267" t="s">
        <v>767</v>
      </c>
      <c r="D24" s="1272">
        <f>+D25+D26+D27+D28+D29+D30+D32</f>
        <v>240181067.65924728</v>
      </c>
      <c r="E24" s="1156">
        <f>+(B24-D24)/D24</f>
        <v>0.259950420778747</v>
      </c>
    </row>
    <row r="25" spans="1:5" ht="14.25">
      <c r="A25" s="1268" t="s">
        <v>773</v>
      </c>
      <c r="B25" s="1273">
        <f>+'Nómina y honorarios 2011'!Y50/6</f>
        <v>43462336.890176214</v>
      </c>
      <c r="C25" s="1268" t="s">
        <v>773</v>
      </c>
      <c r="D25" s="1273">
        <f>20955164.5981964-6679413</f>
        <v>14275751.598196398</v>
      </c>
      <c r="E25" s="1159">
        <f aca="true" t="shared" si="1" ref="E25:E32">+(B25-D25)/D25</f>
        <v>2.0444867712371275</v>
      </c>
    </row>
    <row r="26" spans="1:5" ht="14.25">
      <c r="A26" s="1274" t="s">
        <v>854</v>
      </c>
      <c r="B26" s="1273">
        <f>+'Nómina y honorarios 2011'!Y50/6</f>
        <v>43462336.890176214</v>
      </c>
      <c r="C26" s="1274" t="s">
        <v>774</v>
      </c>
      <c r="D26" s="1273">
        <f>20955164.5981964-6679413</f>
        <v>14275751.598196398</v>
      </c>
      <c r="E26" s="1159">
        <f t="shared" si="1"/>
        <v>2.0444867712371275</v>
      </c>
    </row>
    <row r="27" spans="1:5" ht="14.25">
      <c r="A27" s="1274" t="s">
        <v>775</v>
      </c>
      <c r="B27" s="1273">
        <f>+'Nómina y honorarios 2011'!Y50/6</f>
        <v>43462336.890176214</v>
      </c>
      <c r="C27" s="1274" t="s">
        <v>775</v>
      </c>
      <c r="D27" s="1273">
        <f>84145175.7843459-6679413</f>
        <v>77465762.7843459</v>
      </c>
      <c r="E27" s="1159">
        <f t="shared" si="1"/>
        <v>-0.43894779670382356</v>
      </c>
    </row>
    <row r="28" spans="1:5" ht="14.25">
      <c r="A28" s="1274" t="s">
        <v>776</v>
      </c>
      <c r="B28" s="1273">
        <f>+'Nómina y honorarios 2011'!Y50/6</f>
        <v>43462336.890176214</v>
      </c>
      <c r="C28" s="1274" t="s">
        <v>776</v>
      </c>
      <c r="D28" s="1273">
        <f>20955164.5981964-6679413</f>
        <v>14275751.598196398</v>
      </c>
      <c r="E28" s="1159">
        <f t="shared" si="1"/>
        <v>2.0444867712371275</v>
      </c>
    </row>
    <row r="29" spans="1:5" ht="14.25">
      <c r="A29" s="1275" t="s">
        <v>777</v>
      </c>
      <c r="B29" s="1273">
        <f>+'Nómina y honorarios 2011'!Y50/6</f>
        <v>43462336.890176214</v>
      </c>
      <c r="C29" s="1274" t="s">
        <v>777</v>
      </c>
      <c r="D29" s="1273">
        <f>20955164.5981964-6679413</f>
        <v>14275751.598196398</v>
      </c>
      <c r="E29" s="1159">
        <f t="shared" si="1"/>
        <v>2.0444867712371275</v>
      </c>
    </row>
    <row r="30" spans="1:5" ht="14.25">
      <c r="A30" s="1274" t="s">
        <v>778</v>
      </c>
      <c r="B30" s="1273">
        <v>0</v>
      </c>
      <c r="C30" s="1274" t="s">
        <v>778</v>
      </c>
      <c r="D30" s="1273">
        <f>72099369.4265158-6679413</f>
        <v>65419956.4265158</v>
      </c>
      <c r="E30" s="1159">
        <f t="shared" si="1"/>
        <v>-1</v>
      </c>
    </row>
    <row r="31" spans="1:5" ht="14.25">
      <c r="A31" s="1275" t="s">
        <v>780</v>
      </c>
      <c r="B31" s="1273">
        <f>+'Nómina y honorarios 2011'!Y50/6</f>
        <v>43462336.890176214</v>
      </c>
      <c r="C31" s="1275"/>
      <c r="D31" s="1273"/>
      <c r="E31" s="1159"/>
    </row>
    <row r="32" spans="1:5" ht="14.25">
      <c r="A32" s="1264" t="s">
        <v>32</v>
      </c>
      <c r="B32" s="1161">
        <f>+GASTOS!E36+GASTOS!E18</f>
        <v>41842215.919300005</v>
      </c>
      <c r="C32" s="1264" t="s">
        <v>32</v>
      </c>
      <c r="D32" s="1273">
        <f>+'[19]MER'!$F$20+'[19]MER'!$F$30</f>
        <v>40192342.0556</v>
      </c>
      <c r="E32" s="1159">
        <f t="shared" si="1"/>
        <v>0.04104945816338974</v>
      </c>
    </row>
    <row r="33" spans="1:5" ht="15">
      <c r="A33" s="1163"/>
      <c r="B33" s="1161"/>
      <c r="C33" s="1163"/>
      <c r="D33" s="1276"/>
      <c r="E33" s="1156"/>
    </row>
    <row r="34" spans="1:5" ht="15">
      <c r="A34" s="1162" t="s">
        <v>42</v>
      </c>
      <c r="B34" s="1157">
        <f>SUM(B35:B41)</f>
        <v>2388905480.7464</v>
      </c>
      <c r="C34" s="1162" t="s">
        <v>42</v>
      </c>
      <c r="D34" s="1155">
        <f>SUM(D35:D41)</f>
        <v>3142651483.9334</v>
      </c>
      <c r="E34" s="1156">
        <f aca="true" t="shared" si="2" ref="E34:E41">+(B34-D34)/D34</f>
        <v>-0.2398439683943566</v>
      </c>
    </row>
    <row r="35" spans="1:5" ht="14.25">
      <c r="A35" s="1268" t="s">
        <v>773</v>
      </c>
      <c r="B35" s="1161">
        <f>+GASTOS!E69</f>
        <v>102018368.388</v>
      </c>
      <c r="C35" s="1268" t="s">
        <v>773</v>
      </c>
      <c r="D35" s="1273">
        <f>+'Ejecución gastos 2010'!L72</f>
        <v>283526004.256</v>
      </c>
      <c r="E35" s="1159">
        <f t="shared" si="2"/>
        <v>-0.6401798534998361</v>
      </c>
    </row>
    <row r="36" spans="1:5" ht="14.25">
      <c r="A36" s="1274" t="s">
        <v>854</v>
      </c>
      <c r="B36" s="1161">
        <f>+GASTOS!E75</f>
        <v>273410413</v>
      </c>
      <c r="C36" s="1274" t="s">
        <v>779</v>
      </c>
      <c r="D36" s="1273">
        <f>+'Ejecución gastos 2010'!L78</f>
        <v>186662372.22500002</v>
      </c>
      <c r="E36" s="1159">
        <f t="shared" si="2"/>
        <v>0.4647323386120647</v>
      </c>
    </row>
    <row r="37" spans="1:5" ht="14.25">
      <c r="A37" s="1274" t="s">
        <v>775</v>
      </c>
      <c r="B37" s="1161">
        <v>391560368</v>
      </c>
      <c r="C37" s="1277" t="s">
        <v>775</v>
      </c>
      <c r="D37" s="1273">
        <f>+'Ejecución gastos 2010'!L86</f>
        <v>402273937.55</v>
      </c>
      <c r="E37" s="1159">
        <f t="shared" si="2"/>
        <v>-0.026632522144610437</v>
      </c>
    </row>
    <row r="38" spans="1:5" ht="14.25">
      <c r="A38" s="1274" t="s">
        <v>776</v>
      </c>
      <c r="B38" s="1161">
        <f>+GASTOS!E88</f>
        <v>1170049200</v>
      </c>
      <c r="C38" s="1274" t="s">
        <v>776</v>
      </c>
      <c r="D38" s="1273">
        <f>+'Ejecución gastos 2010'!L93</f>
        <v>1870010491</v>
      </c>
      <c r="E38" s="1159">
        <f t="shared" si="2"/>
        <v>-0.3743087508699971</v>
      </c>
    </row>
    <row r="39" spans="1:5" ht="14.25">
      <c r="A39" s="1275" t="s">
        <v>777</v>
      </c>
      <c r="B39" s="1161">
        <f>+GASTOS!E100</f>
        <v>356139131.3584</v>
      </c>
      <c r="C39" s="1274" t="s">
        <v>777</v>
      </c>
      <c r="D39" s="1273">
        <f>+'Ejecución gastos 2010'!L101</f>
        <v>163274123.12</v>
      </c>
      <c r="E39" s="1159">
        <f t="shared" si="2"/>
        <v>1.1812343839485933</v>
      </c>
    </row>
    <row r="40" spans="1:5" ht="14.25">
      <c r="A40" s="1274" t="s">
        <v>778</v>
      </c>
      <c r="B40" s="1161">
        <v>0</v>
      </c>
      <c r="C40" s="1274" t="s">
        <v>778</v>
      </c>
      <c r="D40" s="1273">
        <f>+'Ejecución gastos 2010'!L106</f>
        <v>105004555.7824</v>
      </c>
      <c r="E40" s="1159">
        <f t="shared" si="2"/>
        <v>-1</v>
      </c>
    </row>
    <row r="41" spans="1:5" ht="14.25">
      <c r="A41" s="1275" t="s">
        <v>780</v>
      </c>
      <c r="B41" s="1161">
        <f>+GASTOS!E104</f>
        <v>95728000</v>
      </c>
      <c r="C41" s="1275" t="s">
        <v>780</v>
      </c>
      <c r="D41" s="1273">
        <f>+'Ejecución gastos 2010'!L110</f>
        <v>131900000</v>
      </c>
      <c r="E41" s="1159">
        <f t="shared" si="2"/>
        <v>-0.27423805913570887</v>
      </c>
    </row>
    <row r="42" spans="1:5" ht="14.25">
      <c r="A42" s="1275"/>
      <c r="B42" s="1161"/>
      <c r="C42" s="1275"/>
      <c r="D42" s="1273"/>
      <c r="E42" s="1159"/>
    </row>
    <row r="43" spans="1:5" ht="15">
      <c r="A43" s="1269"/>
      <c r="B43" s="1157"/>
      <c r="C43" s="1269"/>
      <c r="D43" s="1158"/>
      <c r="E43" s="1156"/>
    </row>
    <row r="44" spans="1:5" ht="15">
      <c r="A44" s="1269" t="s">
        <v>781</v>
      </c>
      <c r="B44" s="1157">
        <f>+B46+B53</f>
        <v>1406857046.572989</v>
      </c>
      <c r="C44" s="1269" t="s">
        <v>781</v>
      </c>
      <c r="D44" s="1155">
        <f>+D46+D53</f>
        <v>1074144608.4621673</v>
      </c>
      <c r="E44" s="1156">
        <f>+(B44-D44)/D44</f>
        <v>0.30974641169326345</v>
      </c>
    </row>
    <row r="45" spans="1:5" ht="15">
      <c r="A45" s="1269"/>
      <c r="B45" s="1157"/>
      <c r="C45" s="1269"/>
      <c r="D45" s="1155"/>
      <c r="E45" s="1156"/>
    </row>
    <row r="46" spans="1:5" ht="15">
      <c r="A46" s="1162" t="s">
        <v>767</v>
      </c>
      <c r="B46" s="1157">
        <f>+B47+B48+B49+B50+B51</f>
        <v>296075309.57298887</v>
      </c>
      <c r="C46" s="1162" t="s">
        <v>767</v>
      </c>
      <c r="D46" s="1155">
        <f>+D47+D48+D49+D50+D51</f>
        <v>238279528.4621672</v>
      </c>
      <c r="E46" s="1156">
        <f>+(B46-D46)/D46</f>
        <v>0.24255453871270433</v>
      </c>
    </row>
    <row r="47" spans="1:5" ht="14.25">
      <c r="A47" s="1160" t="s">
        <v>782</v>
      </c>
      <c r="B47" s="1158">
        <f>+('Nómina y honorarios 2011'!Y60+'Nómina y honorarios 2011'!Y63+'Nómina y honorarios 2011'!Y64)/4</f>
        <v>36536586.11107743</v>
      </c>
      <c r="C47" s="1160" t="s">
        <v>782</v>
      </c>
      <c r="D47" s="1158">
        <v>21845991.239724636</v>
      </c>
      <c r="E47" s="1159">
        <f>+(B47-D47)/D47</f>
        <v>0.6724618127942618</v>
      </c>
    </row>
    <row r="48" spans="1:5" ht="14.25">
      <c r="A48" s="1160" t="s">
        <v>783</v>
      </c>
      <c r="B48" s="1158">
        <f>+'Nómina y honorarios 2011'!Y61+(('Nómina y honorarios 2011'!Y60+'Nómina y honorarios 2011'!Y63+'Nómina y honorarios 2011'!Y64)/4)</f>
        <v>101729718.76732655</v>
      </c>
      <c r="C48" s="1160" t="s">
        <v>783</v>
      </c>
      <c r="D48" s="1158">
        <v>85036002.42587404</v>
      </c>
      <c r="E48" s="1159">
        <f>+(B48-D48)/D48</f>
        <v>0.19631351269133843</v>
      </c>
    </row>
    <row r="49" spans="1:5" ht="14.25">
      <c r="A49" s="1160" t="s">
        <v>784</v>
      </c>
      <c r="B49" s="1158">
        <f>+('Nómina y honorarios 2011'!Y60+'Nómina y honorarios 2011'!Y63+'Nómina y honorarios 2011'!Y64)/4</f>
        <v>36536586.11107743</v>
      </c>
      <c r="C49" s="1160" t="s">
        <v>784</v>
      </c>
      <c r="D49" s="1158">
        <v>21845991.239724636</v>
      </c>
      <c r="E49" s="1159">
        <f>+(B49-D49)/D49</f>
        <v>0.6724618127942618</v>
      </c>
    </row>
    <row r="50" spans="1:5" ht="14.25">
      <c r="A50" s="1160" t="s">
        <v>785</v>
      </c>
      <c r="B50" s="1158">
        <f>+'Nómina y honorarios 2011'!Y62+(('Nómina y honorarios 2011'!Y60+'Nómina y honorarios 2011'!Y63+'Nómina y honorarios 2011'!Y64)/4)</f>
        <v>87549262.87210746</v>
      </c>
      <c r="C50" s="1160" t="s">
        <v>785</v>
      </c>
      <c r="D50" s="1158">
        <f>72990196.0680439-3</f>
        <v>72990193.0680439</v>
      </c>
      <c r="E50" s="1159">
        <f>+(B48-D50)/D50</f>
        <v>0.3937450291779705</v>
      </c>
    </row>
    <row r="51" spans="1:5" ht="14.25">
      <c r="A51" s="1160" t="s">
        <v>32</v>
      </c>
      <c r="B51" s="1161">
        <f>+GASTOS!C18+GASTOS!C36</f>
        <v>33723155.7114</v>
      </c>
      <c r="C51" s="1160" t="s">
        <v>32</v>
      </c>
      <c r="D51" s="1158">
        <f>+'[19]TEC'!$F$20+'[19]TEC'!$F$32</f>
        <v>36561350.488800004</v>
      </c>
      <c r="E51" s="1159">
        <f>+(B51-D51)/D51</f>
        <v>-0.07762828066948561</v>
      </c>
    </row>
    <row r="52" spans="1:5" ht="15">
      <c r="A52" s="1160"/>
      <c r="B52" s="1161"/>
      <c r="C52" s="1160"/>
      <c r="D52" s="1158"/>
      <c r="E52" s="1156"/>
    </row>
    <row r="53" spans="1:5" ht="15">
      <c r="A53" s="1269" t="s">
        <v>42</v>
      </c>
      <c r="B53" s="1157">
        <f>+B54+B55+B56+B57+B58</f>
        <v>1110781737</v>
      </c>
      <c r="C53" s="1269" t="s">
        <v>42</v>
      </c>
      <c r="D53" s="1155">
        <f>+D54+D55+D56+D57</f>
        <v>835865080</v>
      </c>
      <c r="E53" s="1156">
        <f>+(B53-D53)/D53</f>
        <v>0.3289007563278035</v>
      </c>
    </row>
    <row r="54" spans="1:5" ht="14.25">
      <c r="A54" s="1160" t="s">
        <v>782</v>
      </c>
      <c r="B54" s="1161">
        <f>+GASTOS!C108</f>
        <v>129792321</v>
      </c>
      <c r="C54" s="1160" t="s">
        <v>782</v>
      </c>
      <c r="D54" s="1273">
        <f>+'Ejecución gastos 2010'!L114</f>
        <v>60000000</v>
      </c>
      <c r="E54" s="1159">
        <f>+(B54-D54)/D54</f>
        <v>1.16320535</v>
      </c>
    </row>
    <row r="55" spans="1:5" ht="14.25">
      <c r="A55" s="1160" t="s">
        <v>783</v>
      </c>
      <c r="B55" s="1161">
        <f>+GASTOS!C115</f>
        <v>536789416</v>
      </c>
      <c r="C55" s="1160" t="s">
        <v>783</v>
      </c>
      <c r="D55" s="1273">
        <f>+'Ejecución gastos 2010'!L119</f>
        <v>383915064</v>
      </c>
      <c r="E55" s="1159">
        <f>+(B55-D55)/D55</f>
        <v>0.3981983681682259</v>
      </c>
    </row>
    <row r="56" spans="1:5" ht="14.25">
      <c r="A56" s="1160" t="s">
        <v>784</v>
      </c>
      <c r="B56" s="1161">
        <f>+GASTOS!C126</f>
        <v>108380000</v>
      </c>
      <c r="C56" s="1160" t="s">
        <v>784</v>
      </c>
      <c r="D56" s="1273">
        <f>+'Ejecución gastos 2010'!L133</f>
        <v>122000016</v>
      </c>
      <c r="E56" s="1159">
        <f>+(B56-D56)/D56</f>
        <v>-0.11163946076859531</v>
      </c>
    </row>
    <row r="57" spans="1:5" ht="14.25">
      <c r="A57" s="1160" t="s">
        <v>785</v>
      </c>
      <c r="B57" s="1161">
        <f>+GASTOS!C130</f>
        <v>335820000</v>
      </c>
      <c r="C57" s="1160" t="s">
        <v>785</v>
      </c>
      <c r="D57" s="1273">
        <f>+'Ejecución gastos 2010'!L138</f>
        <v>269950000</v>
      </c>
      <c r="E57" s="1159">
        <f>+(B57-D57)/D57</f>
        <v>0.24400814965734396</v>
      </c>
    </row>
    <row r="58" spans="1:5" ht="14.25">
      <c r="A58" s="1160"/>
      <c r="B58" s="1161"/>
      <c r="C58" s="1160"/>
      <c r="D58" s="1273"/>
      <c r="E58" s="1159"/>
    </row>
    <row r="59" spans="1:5" ht="14.25">
      <c r="A59" s="1160"/>
      <c r="B59" s="1161"/>
      <c r="C59" s="1160"/>
      <c r="D59" s="1158"/>
      <c r="E59" s="1159"/>
    </row>
    <row r="60" spans="1:5" ht="15">
      <c r="A60" s="1269" t="s">
        <v>786</v>
      </c>
      <c r="B60" s="1157">
        <f>+B62+B70</f>
        <v>5831945212.55212</v>
      </c>
      <c r="C60" s="1269" t="s">
        <v>786</v>
      </c>
      <c r="D60" s="1155">
        <f>+D62+D70</f>
        <v>5947049691.243192</v>
      </c>
      <c r="E60" s="1156">
        <f>+(B60-D60)/D60</f>
        <v>-0.019354887661449768</v>
      </c>
    </row>
    <row r="61" spans="1:5" ht="15">
      <c r="A61" s="1269"/>
      <c r="B61" s="1161"/>
      <c r="C61" s="1269"/>
      <c r="D61" s="1158"/>
      <c r="E61" s="1159"/>
    </row>
    <row r="62" spans="1:5" ht="15">
      <c r="A62" s="1162" t="s">
        <v>767</v>
      </c>
      <c r="B62" s="1157">
        <f>+B63+B64+B65+B66+B67+B68</f>
        <v>1206779266.2178802</v>
      </c>
      <c r="C62" s="1162" t="s">
        <v>767</v>
      </c>
      <c r="D62" s="1155">
        <f>+D63+D64+D65+D66+D67+D68</f>
        <v>1187459786.1233623</v>
      </c>
      <c r="E62" s="1156">
        <f aca="true" t="shared" si="3" ref="E62:E68">+(B62-D62)/D62</f>
        <v>0.016269586827516273</v>
      </c>
    </row>
    <row r="63" spans="1:5" ht="14.25">
      <c r="A63" s="1164" t="s">
        <v>787</v>
      </c>
      <c r="B63" s="1161">
        <f>+'Nómina y honorarios 2011'!Y73+'Nómina y honorarios 2011'!Y74+('Nómina y honorarios 2011'!Y71/2)+(('Nómina y honorarios 2011'!Y70+'Nómina y honorarios 2011'!Y75+'Nómina y honorarios 2011'!Y76+'Nómina y honorarios 2011'!Y77+'Nómina y honorarios 2011'!Y78)/5)</f>
        <v>669127739.3998226</v>
      </c>
      <c r="C63" s="1164" t="s">
        <v>787</v>
      </c>
      <c r="D63" s="1158">
        <v>648404754.4942436</v>
      </c>
      <c r="E63" s="1159">
        <f t="shared" si="3"/>
        <v>0.03195995211624091</v>
      </c>
    </row>
    <row r="64" spans="1:5" ht="14.25">
      <c r="A64" s="1164" t="s">
        <v>788</v>
      </c>
      <c r="B64" s="1161">
        <f>+('Nómina y honorarios 2011'!Y70+'Nómina y honorarios 2011'!Y75+'Nómina y honorarios 2011'!Y76+'Nómina y honorarios 2011'!Y77+'Nómina y honorarios 2011'!Y78)/5</f>
        <v>33047979.36728678</v>
      </c>
      <c r="C64" s="1164" t="s">
        <v>788</v>
      </c>
      <c r="D64" s="1158">
        <v>31869020.467954446</v>
      </c>
      <c r="E64" s="1159">
        <f t="shared" si="3"/>
        <v>0.03699388566140032</v>
      </c>
    </row>
    <row r="65" spans="1:5" ht="14.25">
      <c r="A65" s="1164" t="s">
        <v>789</v>
      </c>
      <c r="B65" s="1161">
        <f>+'Nómina y honorarios 2011'!Y72+(('Nómina y honorarios 2011'!Y70+'Nómina y honorarios 2011'!Y75+'Nómina y honorarios 2011'!Y76+'Nómina y honorarios 2011'!Y77+'Nómina y honorarios 2011'!Y78)/5)</f>
        <v>85813448.32755917</v>
      </c>
      <c r="C65" s="1164" t="s">
        <v>789</v>
      </c>
      <c r="D65" s="1158">
        <v>113731583.63457109</v>
      </c>
      <c r="E65" s="1159">
        <f t="shared" si="3"/>
        <v>-0.24547389928830304</v>
      </c>
    </row>
    <row r="66" spans="1:5" ht="14.25">
      <c r="A66" s="1164" t="s">
        <v>790</v>
      </c>
      <c r="B66" s="1161">
        <f>+(('Nómina y honorarios 2011'!Y70+'Nómina y honorarios 2011'!Y75+'Nómina y honorarios 2011'!Y76+'Nómina y honorarios 2011'!Y77+'Nómina y honorarios 2011'!Y78)/5)</f>
        <v>33047979.36728678</v>
      </c>
      <c r="C66" s="1164" t="s">
        <v>790</v>
      </c>
      <c r="D66" s="1158">
        <v>31869020.467954446</v>
      </c>
      <c r="E66" s="1159">
        <f t="shared" si="3"/>
        <v>0.03699388566140032</v>
      </c>
    </row>
    <row r="67" spans="1:5" ht="14.25">
      <c r="A67" s="1164" t="s">
        <v>791</v>
      </c>
      <c r="B67" s="1161">
        <f>+('Nómina y honorarios 2011'!Y71/2)+(('Nómina y honorarios 2011'!Y70+'Nómina y honorarios 2011'!Y75+'Nómina y honorarios 2011'!Y76+'Nómina y honorarios 2011'!Y77+'Nómina y honorarios 2011'!Y78)/5)</f>
        <v>59521440.160664916</v>
      </c>
      <c r="C67" s="1164" t="s">
        <v>791</v>
      </c>
      <c r="D67" s="1158">
        <v>57529061.55183877</v>
      </c>
      <c r="E67" s="1159">
        <f t="shared" si="3"/>
        <v>0.034632558833431276</v>
      </c>
    </row>
    <row r="68" spans="1:5" ht="14.25">
      <c r="A68" s="1164" t="s">
        <v>32</v>
      </c>
      <c r="B68" s="1161">
        <f>+GASTOS!D36+GASTOS!D18</f>
        <v>326220679.59525996</v>
      </c>
      <c r="C68" s="1164" t="s">
        <v>32</v>
      </c>
      <c r="D68" s="1158">
        <f>+'[19]PPC'!$F$20+'[19]PPC'!$F$21+'[19]PPC'!$F$37</f>
        <v>304056345.5068</v>
      </c>
      <c r="E68" s="1159">
        <f t="shared" si="3"/>
        <v>0.07289548274849038</v>
      </c>
    </row>
    <row r="69" spans="1:5" ht="14.25">
      <c r="A69" s="1164"/>
      <c r="B69" s="1161"/>
      <c r="C69" s="1164"/>
      <c r="D69" s="1158"/>
      <c r="E69" s="1159"/>
    </row>
    <row r="70" spans="1:5" ht="15">
      <c r="A70" s="1269" t="s">
        <v>42</v>
      </c>
      <c r="B70" s="1157">
        <f>SUM(B71:B75)</f>
        <v>4625165946.33424</v>
      </c>
      <c r="C70" s="1269" t="s">
        <v>42</v>
      </c>
      <c r="D70" s="1155">
        <f>SUM(D71:D75)</f>
        <v>4759589905.119829</v>
      </c>
      <c r="E70" s="1156">
        <f aca="true" t="shared" si="4" ref="E70:E75">+(B70-D70)/D70</f>
        <v>-0.02824276071368903</v>
      </c>
    </row>
    <row r="71" spans="1:5" ht="14.25">
      <c r="A71" s="1164" t="s">
        <v>787</v>
      </c>
      <c r="B71" s="1161">
        <f>+GASTOS!D135</f>
        <v>2626640348.00064</v>
      </c>
      <c r="C71" s="1164" t="s">
        <v>787</v>
      </c>
      <c r="D71" s="1158">
        <f>+'Ejecución gastos 2010'!L143</f>
        <v>2987864945.5198298</v>
      </c>
      <c r="E71" s="1159">
        <f t="shared" si="4"/>
        <v>-0.12089723066661029</v>
      </c>
    </row>
    <row r="72" spans="1:5" ht="14.25">
      <c r="A72" s="1164" t="s">
        <v>788</v>
      </c>
      <c r="B72" s="1161">
        <f>+GASTOS!D140</f>
        <v>283325000</v>
      </c>
      <c r="C72" s="1164" t="s">
        <v>788</v>
      </c>
      <c r="D72" s="1158">
        <f>+'Ejecución gastos 2010'!L148</f>
        <v>89000000</v>
      </c>
      <c r="E72" s="1159">
        <f t="shared" si="4"/>
        <v>2.1834269662921346</v>
      </c>
    </row>
    <row r="73" spans="1:5" ht="14.25">
      <c r="A73" s="1164" t="s">
        <v>789</v>
      </c>
      <c r="B73" s="1161">
        <f>+GASTOS!D148</f>
        <v>140000000</v>
      </c>
      <c r="C73" s="1164" t="s">
        <v>789</v>
      </c>
      <c r="D73" s="1158">
        <f>+'Ejecución gastos 2010'!L155</f>
        <v>120000000</v>
      </c>
      <c r="E73" s="1159">
        <f t="shared" si="4"/>
        <v>0.16666666666666666</v>
      </c>
    </row>
    <row r="74" spans="1:5" ht="14.25">
      <c r="A74" s="1164" t="s">
        <v>790</v>
      </c>
      <c r="B74" s="1161">
        <f>+GASTOS!D153</f>
        <v>290700000</v>
      </c>
      <c r="C74" s="1164" t="s">
        <v>790</v>
      </c>
      <c r="D74" s="1158">
        <f>+'Ejecución gastos 2010'!L160</f>
        <v>159195810</v>
      </c>
      <c r="E74" s="1159">
        <f t="shared" si="4"/>
        <v>0.8260530851911241</v>
      </c>
    </row>
    <row r="75" spans="1:5" ht="14.25">
      <c r="A75" s="1164" t="s">
        <v>791</v>
      </c>
      <c r="B75" s="1161">
        <f>+GASTOS!D155</f>
        <v>1284500598.3336</v>
      </c>
      <c r="C75" s="1164" t="s">
        <v>791</v>
      </c>
      <c r="D75" s="1158">
        <f>+'Ejecución gastos 2010'!L162</f>
        <v>1403529149.6</v>
      </c>
      <c r="E75" s="1159">
        <f t="shared" si="4"/>
        <v>-0.08480661146248548</v>
      </c>
    </row>
    <row r="76" spans="1:5" ht="15">
      <c r="A76" s="1163"/>
      <c r="B76" s="1161"/>
      <c r="C76" s="1163"/>
      <c r="D76" s="1158"/>
      <c r="E76" s="1156"/>
    </row>
    <row r="77" spans="1:8" ht="15.75">
      <c r="A77" s="1162" t="s">
        <v>792</v>
      </c>
      <c r="B77" s="1157">
        <f>+B78+B79+B80+B81</f>
        <v>1558252502.0500588</v>
      </c>
      <c r="C77" s="1162" t="s">
        <v>792</v>
      </c>
      <c r="D77" s="1155">
        <f>+D78+D79+D80+D81</f>
        <v>1458082807.867083</v>
      </c>
      <c r="E77" s="1156">
        <f>+(B77-D77)/D77</f>
        <v>0.06869959212365057</v>
      </c>
      <c r="G77" s="1165"/>
      <c r="H77" s="1166"/>
    </row>
    <row r="78" spans="1:5" ht="14.25">
      <c r="A78" s="1160" t="s">
        <v>793</v>
      </c>
      <c r="B78" s="1161">
        <f>+GASTOS!G19</f>
        <v>73600000</v>
      </c>
      <c r="C78" s="1160" t="s">
        <v>793</v>
      </c>
      <c r="D78" s="1158">
        <v>52960000</v>
      </c>
      <c r="E78" s="1159">
        <f>+(B78-D78)/D78</f>
        <v>0.38972809667673713</v>
      </c>
    </row>
    <row r="79" spans="1:5" ht="14.25">
      <c r="A79" s="1160" t="s">
        <v>767</v>
      </c>
      <c r="B79" s="1161">
        <f>+'Nómina y honorarios 2011'!Y11+GASTOS!G18+GASTOS!G14</f>
        <v>188552978.93011293</v>
      </c>
      <c r="C79" s="1160" t="s">
        <v>767</v>
      </c>
      <c r="D79" s="1158">
        <v>190183019.2262829</v>
      </c>
      <c r="E79" s="1159">
        <f>+(B79-D79)/D79</f>
        <v>-0.008570903452902479</v>
      </c>
    </row>
    <row r="80" spans="1:5" ht="14.25">
      <c r="A80" s="1160" t="s">
        <v>32</v>
      </c>
      <c r="B80" s="1161">
        <f>+GASTOS!G36</f>
        <v>369017569.9694</v>
      </c>
      <c r="C80" s="1160" t="s">
        <v>32</v>
      </c>
      <c r="D80" s="1158">
        <v>363531089.6408</v>
      </c>
      <c r="E80" s="1159">
        <f>+(B80-D80)/D80</f>
        <v>0.015092190145335586</v>
      </c>
    </row>
    <row r="81" spans="1:5" ht="14.25">
      <c r="A81" s="1160" t="s">
        <v>263</v>
      </c>
      <c r="B81" s="1161">
        <f>+GASTOS!G162</f>
        <v>927081953.1505461</v>
      </c>
      <c r="C81" s="1160" t="s">
        <v>263</v>
      </c>
      <c r="D81" s="1158">
        <v>851408699.0000001</v>
      </c>
      <c r="E81" s="1159">
        <f>+(B81-D81)/D81</f>
        <v>0.0888800575322122</v>
      </c>
    </row>
    <row r="82" spans="1:5" ht="15">
      <c r="A82" s="1160"/>
      <c r="B82" s="1161"/>
      <c r="C82" s="1160"/>
      <c r="D82" s="1158"/>
      <c r="E82" s="1156"/>
    </row>
    <row r="83" spans="1:5" ht="15">
      <c r="A83" s="1269" t="s">
        <v>344</v>
      </c>
      <c r="B83" s="1157">
        <f>+B84+B85</f>
        <v>718642358.4912109</v>
      </c>
      <c r="C83" s="1269" t="s">
        <v>344</v>
      </c>
      <c r="D83" s="1155">
        <f>+D84+D85</f>
        <v>1534551030.3162575</v>
      </c>
      <c r="E83" s="1156">
        <f>+(B83-D83)/D83</f>
        <v>-0.5316921077931797</v>
      </c>
    </row>
    <row r="84" spans="1:5" ht="14.25">
      <c r="A84" s="1160" t="s">
        <v>794</v>
      </c>
      <c r="B84" s="1161">
        <f>+GASTOS!G167</f>
        <v>159414235.57270813</v>
      </c>
      <c r="C84" s="1160" t="s">
        <v>794</v>
      </c>
      <c r="D84" s="1158">
        <v>524607852.7638397</v>
      </c>
      <c r="E84" s="1159">
        <f>+(B84-D84)/D84</f>
        <v>-0.6961268598385414</v>
      </c>
    </row>
    <row r="85" spans="1:5" ht="14.25">
      <c r="A85" s="1278" t="s">
        <v>65</v>
      </c>
      <c r="B85" s="1279">
        <f>+GASTOS!G168</f>
        <v>559228122.9185028</v>
      </c>
      <c r="C85" s="1278" t="s">
        <v>65</v>
      </c>
      <c r="D85" s="1158">
        <v>1009943177.5524178</v>
      </c>
      <c r="E85" s="1167">
        <f>+(B85-D85)/D85</f>
        <v>-0.446277636853012</v>
      </c>
    </row>
    <row r="86" spans="1:5" ht="15.75" thickBot="1">
      <c r="A86" s="1168"/>
      <c r="B86" s="1169"/>
      <c r="C86" s="1168"/>
      <c r="D86" s="1170"/>
      <c r="E86" s="1171"/>
    </row>
    <row r="87" spans="1:5" ht="15.75" thickBot="1">
      <c r="A87" s="1172" t="s">
        <v>367</v>
      </c>
      <c r="B87" s="1173">
        <f>+B83+B77+B60+B44+B22+B7</f>
        <v>15524245655.298069</v>
      </c>
      <c r="C87" s="1174" t="s">
        <v>367</v>
      </c>
      <c r="D87" s="1175">
        <f>+D83+D77+D70+D62+D53+D46+D34+D24+D16+D9+2</f>
        <v>16409614576.497204</v>
      </c>
      <c r="E87" s="1176">
        <f>+(B87-D87)/D87</f>
        <v>-0.05395427888155346</v>
      </c>
    </row>
    <row r="88" spans="2:4" ht="12.75">
      <c r="B88" s="4">
        <f>+GASTOS!H170</f>
        <v>16929368585.14807</v>
      </c>
      <c r="D88" s="1177">
        <f>+'Ejecución gastos 2010'!L179</f>
        <v>16409614576.497208</v>
      </c>
    </row>
    <row r="89" spans="1:4" ht="12.75">
      <c r="A89" s="1178"/>
      <c r="B89" s="4">
        <f>+B87-B88</f>
        <v>-1405122929.8500004</v>
      </c>
      <c r="D89" s="1177">
        <f>+D88-D87</f>
        <v>0</v>
      </c>
    </row>
    <row r="90" ht="12.75">
      <c r="B90" s="4"/>
    </row>
    <row r="92" ht="12.75">
      <c r="B92" s="4"/>
    </row>
    <row r="95" ht="12.75">
      <c r="C95" s="1179"/>
    </row>
  </sheetData>
  <sheetProtection/>
  <mergeCells count="4">
    <mergeCell ref="A1:E1"/>
    <mergeCell ref="A2:E2"/>
    <mergeCell ref="A3:E3"/>
    <mergeCell ref="A4:E4"/>
  </mergeCells>
  <printOptions/>
  <pageMargins left="0.5905511811023623" right="0.35433070866141736" top="0.62" bottom="0.2362204724409449" header="0" footer="0"/>
  <pageSetup horizontalDpi="600" verticalDpi="600" orientation="portrait" scale="53"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N59"/>
  <sheetViews>
    <sheetView view="pageBreakPreview" zoomScale="60" zoomScaleNormal="75" zoomScalePageLayoutView="0" workbookViewId="0" topLeftCell="A16">
      <selection activeCell="K52" sqref="K52"/>
    </sheetView>
  </sheetViews>
  <sheetFormatPr defaultColWidth="11.421875" defaultRowHeight="12.75"/>
  <cols>
    <col min="1" max="1" width="27.57421875" style="380" customWidth="1"/>
    <col min="2" max="2" width="24.57421875" style="380" customWidth="1"/>
    <col min="3" max="3" width="29.57421875" style="380" customWidth="1"/>
    <col min="4" max="4" width="22.8515625" style="380" customWidth="1"/>
    <col min="5" max="5" width="22.7109375" style="380" customWidth="1"/>
    <col min="6" max="10" width="24.57421875" style="380" hidden="1" customWidth="1"/>
    <col min="11" max="11" width="24.8515625" style="380" customWidth="1"/>
    <col min="12" max="12" width="16.57421875" style="380" customWidth="1"/>
    <col min="13" max="13" width="11.00390625" style="380" customWidth="1"/>
  </cols>
  <sheetData>
    <row r="1" spans="1:13" ht="15">
      <c r="A1" s="1180" t="s">
        <v>66</v>
      </c>
      <c r="B1" s="1180"/>
      <c r="C1" s="1180"/>
      <c r="D1" s="1180"/>
      <c r="E1" s="1180"/>
      <c r="F1" s="1180"/>
      <c r="G1" s="1180"/>
      <c r="H1" s="1180"/>
      <c r="I1" s="1180"/>
      <c r="J1" s="1180"/>
      <c r="K1" s="1180"/>
      <c r="L1" s="1180"/>
      <c r="M1" s="1180"/>
    </row>
    <row r="2" spans="1:13" ht="15">
      <c r="A2" s="1180" t="s">
        <v>62</v>
      </c>
      <c r="B2" s="1180"/>
      <c r="C2" s="1180"/>
      <c r="D2" s="1180"/>
      <c r="E2" s="1180"/>
      <c r="F2" s="1180"/>
      <c r="G2" s="1180"/>
      <c r="H2" s="1180"/>
      <c r="I2" s="1180"/>
      <c r="J2" s="1180"/>
      <c r="K2" s="1180"/>
      <c r="L2" s="1180"/>
      <c r="M2" s="1180"/>
    </row>
    <row r="3" spans="1:13" ht="15">
      <c r="A3" s="1180" t="s">
        <v>795</v>
      </c>
      <c r="B3" s="1180"/>
      <c r="C3" s="1180"/>
      <c r="D3" s="1180"/>
      <c r="E3" s="1180"/>
      <c r="F3" s="1180"/>
      <c r="G3" s="1180"/>
      <c r="H3" s="1180"/>
      <c r="I3" s="1180"/>
      <c r="J3" s="1180"/>
      <c r="K3" s="1180"/>
      <c r="L3" s="1180"/>
      <c r="M3" s="1180"/>
    </row>
    <row r="4" spans="1:13" ht="15">
      <c r="A4" s="1180" t="s">
        <v>852</v>
      </c>
      <c r="B4" s="1180"/>
      <c r="C4" s="1180"/>
      <c r="D4" s="1180"/>
      <c r="E4" s="1180"/>
      <c r="F4" s="1180"/>
      <c r="G4" s="1180"/>
      <c r="H4" s="1180"/>
      <c r="I4" s="1180"/>
      <c r="J4" s="1180"/>
      <c r="K4" s="1180"/>
      <c r="L4" s="1180"/>
      <c r="M4" s="1180"/>
    </row>
    <row r="5" spans="1:13" ht="15">
      <c r="A5" s="1181" t="s">
        <v>796</v>
      </c>
      <c r="B5" s="1181"/>
      <c r="C5" s="1181"/>
      <c r="D5" s="1181"/>
      <c r="E5" s="1181"/>
      <c r="F5" s="1181"/>
      <c r="G5" s="1181"/>
      <c r="H5" s="1181"/>
      <c r="I5" s="1181"/>
      <c r="J5" s="1181"/>
      <c r="K5" s="1181"/>
      <c r="L5" s="1181"/>
      <c r="M5" s="1181"/>
    </row>
    <row r="6" spans="1:13" ht="15.75" thickBot="1">
      <c r="A6" s="1181"/>
      <c r="B6" s="1181"/>
      <c r="C6" s="1181"/>
      <c r="D6" s="1181"/>
      <c r="E6" s="1181"/>
      <c r="F6" s="1181"/>
      <c r="G6" s="1181"/>
      <c r="H6" s="1181"/>
      <c r="I6" s="1181"/>
      <c r="J6" s="1181"/>
      <c r="K6" s="1181"/>
      <c r="L6" s="1181"/>
      <c r="M6" s="1181"/>
    </row>
    <row r="7" spans="1:13" ht="12.75" customHeight="1">
      <c r="A7" s="1381" t="s">
        <v>797</v>
      </c>
      <c r="B7" s="1379" t="s">
        <v>9</v>
      </c>
      <c r="C7" s="1379" t="s">
        <v>11</v>
      </c>
      <c r="D7" s="1379" t="s">
        <v>12</v>
      </c>
      <c r="E7" s="1379" t="s">
        <v>65</v>
      </c>
      <c r="F7" s="1376"/>
      <c r="G7" s="1376"/>
      <c r="H7" s="1376"/>
      <c r="I7" s="1376"/>
      <c r="J7" s="1376"/>
      <c r="K7" s="1376" t="s">
        <v>798</v>
      </c>
      <c r="L7" s="1376" t="s">
        <v>799</v>
      </c>
      <c r="M7" s="1374" t="s">
        <v>800</v>
      </c>
    </row>
    <row r="8" spans="1:13" ht="33" customHeight="1">
      <c r="A8" s="1382"/>
      <c r="B8" s="1383"/>
      <c r="C8" s="1383"/>
      <c r="D8" s="1380"/>
      <c r="E8" s="1380"/>
      <c r="F8" s="1377"/>
      <c r="G8" s="1377"/>
      <c r="H8" s="1377"/>
      <c r="I8" s="1377"/>
      <c r="J8" s="1377"/>
      <c r="K8" s="1377"/>
      <c r="L8" s="1378"/>
      <c r="M8" s="1375"/>
    </row>
    <row r="9" spans="1:13" ht="15">
      <c r="A9" s="1182" t="s">
        <v>801</v>
      </c>
      <c r="B9" s="1288">
        <f aca="true" t="shared" si="0" ref="B9:J9">SUM(B10:B15)</f>
        <v>685462452.333675</v>
      </c>
      <c r="C9" s="1289">
        <f t="shared" si="0"/>
        <v>313731500.14849997</v>
      </c>
      <c r="D9" s="1289">
        <v>230560434</v>
      </c>
      <c r="E9" s="1289">
        <f t="shared" si="0"/>
        <v>970000000</v>
      </c>
      <c r="F9" s="1183">
        <f t="shared" si="0"/>
        <v>0</v>
      </c>
      <c r="G9" s="1183">
        <f t="shared" si="0"/>
        <v>0</v>
      </c>
      <c r="H9" s="1183">
        <f t="shared" si="0"/>
        <v>0</v>
      </c>
      <c r="I9" s="1183">
        <f t="shared" si="0"/>
        <v>0</v>
      </c>
      <c r="J9" s="1183">
        <f t="shared" si="0"/>
        <v>0</v>
      </c>
      <c r="K9" s="1183">
        <f aca="true" t="shared" si="1" ref="K9:K24">+E9+D9+C9+B9</f>
        <v>2199754386.482175</v>
      </c>
      <c r="L9" s="1184">
        <f>+K9/K48</f>
        <v>0.21111906226486318</v>
      </c>
      <c r="M9" s="1185">
        <f>SUM(M10:M15)</f>
        <v>0.2786</v>
      </c>
    </row>
    <row r="10" spans="1:13" ht="15">
      <c r="A10" s="1186" t="s">
        <v>802</v>
      </c>
      <c r="B10" s="1290">
        <v>123060720.69560933</v>
      </c>
      <c r="C10" s="1291">
        <v>31373150.014849998</v>
      </c>
      <c r="D10" s="1291">
        <v>10469130</v>
      </c>
      <c r="E10" s="1291">
        <v>100000000</v>
      </c>
      <c r="F10" s="1187"/>
      <c r="G10" s="1187"/>
      <c r="H10" s="1187"/>
      <c r="I10" s="1187"/>
      <c r="J10" s="1187"/>
      <c r="K10" s="1187">
        <f t="shared" si="1"/>
        <v>264903000.71045932</v>
      </c>
      <c r="L10" s="1188">
        <f>+K10/K48</f>
        <v>0.025423780693342304</v>
      </c>
      <c r="M10" s="1189">
        <v>0.0075</v>
      </c>
    </row>
    <row r="11" spans="1:13" ht="15">
      <c r="A11" s="1186" t="s">
        <v>803</v>
      </c>
      <c r="B11" s="1290">
        <v>212529750.31669226</v>
      </c>
      <c r="C11" s="1291">
        <v>203925475.09652498</v>
      </c>
      <c r="D11" s="1291">
        <v>147822174</v>
      </c>
      <c r="E11" s="1291">
        <v>500000000</v>
      </c>
      <c r="F11" s="1187"/>
      <c r="G11" s="1187"/>
      <c r="H11" s="1187"/>
      <c r="I11" s="1187"/>
      <c r="J11" s="1187"/>
      <c r="K11" s="1187">
        <f t="shared" si="1"/>
        <v>1064277399.4132172</v>
      </c>
      <c r="L11" s="1188">
        <f>+K11/K48</f>
        <v>0.10214287919349326</v>
      </c>
      <c r="M11" s="1189">
        <v>0.2305</v>
      </c>
    </row>
    <row r="12" spans="1:13" ht="15">
      <c r="A12" s="1186" t="s">
        <v>804</v>
      </c>
      <c r="B12" s="1290">
        <v>86524995.37854086</v>
      </c>
      <c r="C12" s="1291">
        <v>15686575.007424999</v>
      </c>
      <c r="D12" s="1291">
        <v>9150000</v>
      </c>
      <c r="E12" s="1291">
        <v>100000000</v>
      </c>
      <c r="F12" s="1187"/>
      <c r="G12" s="1187"/>
      <c r="H12" s="1187"/>
      <c r="I12" s="1187"/>
      <c r="J12" s="1187"/>
      <c r="K12" s="1187">
        <f t="shared" si="1"/>
        <v>211361570.38596585</v>
      </c>
      <c r="L12" s="1188">
        <f aca="true" t="shared" si="2" ref="L12:L46">+K12/K$48</f>
        <v>0.02028519948087194</v>
      </c>
      <c r="M12" s="1189">
        <v>0.0134</v>
      </c>
    </row>
    <row r="13" spans="1:13" ht="15">
      <c r="A13" s="1186" t="s">
        <v>805</v>
      </c>
      <c r="B13" s="1290">
        <v>114217314.60288206</v>
      </c>
      <c r="C13" s="1291">
        <v>21961205.010394998</v>
      </c>
      <c r="D13" s="1291">
        <v>26533333</v>
      </c>
      <c r="E13" s="1291">
        <v>100000000</v>
      </c>
      <c r="F13" s="1187"/>
      <c r="G13" s="1187"/>
      <c r="H13" s="1187"/>
      <c r="I13" s="1187"/>
      <c r="J13" s="1187"/>
      <c r="K13" s="1187">
        <f t="shared" si="1"/>
        <v>262711852.61327705</v>
      </c>
      <c r="L13" s="1188">
        <f t="shared" si="2"/>
        <v>0.025213487610440292</v>
      </c>
      <c r="M13" s="1189">
        <v>0.0112</v>
      </c>
    </row>
    <row r="14" spans="1:13" ht="15">
      <c r="A14" s="1186" t="s">
        <v>806</v>
      </c>
      <c r="B14" s="1290">
        <v>50107358.44604157</v>
      </c>
      <c r="C14" s="1291">
        <v>21961205.010394998</v>
      </c>
      <c r="D14" s="1291">
        <v>15916667</v>
      </c>
      <c r="E14" s="1291">
        <v>80000000</v>
      </c>
      <c r="F14" s="1187"/>
      <c r="G14" s="1187"/>
      <c r="H14" s="1187"/>
      <c r="I14" s="1187"/>
      <c r="J14" s="1187"/>
      <c r="K14" s="1187">
        <f t="shared" si="1"/>
        <v>167985230.45643657</v>
      </c>
      <c r="L14" s="1188">
        <f t="shared" si="2"/>
        <v>0.01612220189046874</v>
      </c>
      <c r="M14" s="1189">
        <v>0.0021</v>
      </c>
    </row>
    <row r="15" spans="1:13" ht="15">
      <c r="A15" s="1186" t="s">
        <v>807</v>
      </c>
      <c r="B15" s="1290">
        <v>99022312.89390898</v>
      </c>
      <c r="C15" s="1291">
        <v>18823890.008909997</v>
      </c>
      <c r="D15" s="1291">
        <v>20669130</v>
      </c>
      <c r="E15" s="1291">
        <v>90000000</v>
      </c>
      <c r="F15" s="1187"/>
      <c r="G15" s="1187"/>
      <c r="H15" s="1187"/>
      <c r="I15" s="1187"/>
      <c r="J15" s="1187"/>
      <c r="K15" s="1187">
        <f t="shared" si="1"/>
        <v>228515332.90281898</v>
      </c>
      <c r="L15" s="1188">
        <f t="shared" si="2"/>
        <v>0.021931513396246664</v>
      </c>
      <c r="M15" s="1189">
        <v>0.0139</v>
      </c>
    </row>
    <row r="16" spans="1:14" ht="15">
      <c r="A16" s="1182" t="s">
        <v>808</v>
      </c>
      <c r="B16" s="1292">
        <f>SUM(B17:B24)</f>
        <v>285762025.16453296</v>
      </c>
      <c r="C16" s="1289">
        <f>SUM(C17:C24)</f>
        <v>118304658.83990103</v>
      </c>
      <c r="D16" s="1289">
        <v>46119130</v>
      </c>
      <c r="E16" s="1289">
        <f aca="true" t="shared" si="3" ref="E16:J16">SUM(E17:E23)</f>
        <v>680000000</v>
      </c>
      <c r="F16" s="1183">
        <f t="shared" si="3"/>
        <v>0</v>
      </c>
      <c r="G16" s="1183">
        <f t="shared" si="3"/>
        <v>0</v>
      </c>
      <c r="H16" s="1183">
        <f t="shared" si="3"/>
        <v>0</v>
      </c>
      <c r="I16" s="1183">
        <f t="shared" si="3"/>
        <v>0</v>
      </c>
      <c r="J16" s="1183">
        <f t="shared" si="3"/>
        <v>0</v>
      </c>
      <c r="K16" s="1183">
        <f t="shared" si="1"/>
        <v>1130185814.0044339</v>
      </c>
      <c r="L16" s="1184">
        <f t="shared" si="2"/>
        <v>0.10846836842509491</v>
      </c>
      <c r="M16" s="1185">
        <f>SUM(M17:M23)</f>
        <v>0.025300000000000003</v>
      </c>
      <c r="N16" s="1190"/>
    </row>
    <row r="17" spans="1:13" ht="15">
      <c r="A17" s="1186" t="s">
        <v>809</v>
      </c>
      <c r="B17" s="1290">
        <v>74684844.07995819</v>
      </c>
      <c r="C17" s="1291">
        <v>28694954.281874996</v>
      </c>
      <c r="D17" s="1291">
        <v>14450000</v>
      </c>
      <c r="E17" s="1291">
        <v>80000000</v>
      </c>
      <c r="F17" s="1187"/>
      <c r="G17" s="1187"/>
      <c r="H17" s="1187"/>
      <c r="I17" s="1187"/>
      <c r="J17" s="1187"/>
      <c r="K17" s="1187">
        <f t="shared" si="1"/>
        <v>197829798.36183318</v>
      </c>
      <c r="L17" s="1188">
        <f t="shared" si="2"/>
        <v>0.018986502208998154</v>
      </c>
      <c r="M17" s="1189">
        <v>0.0172</v>
      </c>
    </row>
    <row r="18" spans="1:13" ht="15">
      <c r="A18" s="1186" t="s">
        <v>810</v>
      </c>
      <c r="B18" s="1290">
        <v>24695574.018485777</v>
      </c>
      <c r="C18" s="1291">
        <v>28694954.281874996</v>
      </c>
      <c r="D18" s="1291">
        <v>9150000</v>
      </c>
      <c r="E18" s="1291">
        <v>70000000</v>
      </c>
      <c r="F18" s="1187"/>
      <c r="G18" s="1187"/>
      <c r="H18" s="1187"/>
      <c r="I18" s="1187"/>
      <c r="J18" s="1187"/>
      <c r="K18" s="1183">
        <f t="shared" si="1"/>
        <v>132540528.30036077</v>
      </c>
      <c r="L18" s="1188">
        <f t="shared" si="2"/>
        <v>0.012720434707990282</v>
      </c>
      <c r="M18" s="1189">
        <v>0.0009</v>
      </c>
    </row>
    <row r="19" spans="1:13" ht="15">
      <c r="A19" s="1186" t="s">
        <v>811</v>
      </c>
      <c r="B19" s="1290">
        <v>26798141.66847533</v>
      </c>
      <c r="C19" s="1291">
        <v>5738990.8563749995</v>
      </c>
      <c r="D19" s="1291">
        <v>0</v>
      </c>
      <c r="E19" s="1291">
        <v>50000000</v>
      </c>
      <c r="F19" s="1187"/>
      <c r="G19" s="1187"/>
      <c r="H19" s="1187"/>
      <c r="I19" s="1187"/>
      <c r="J19" s="1187"/>
      <c r="K19" s="1183">
        <f t="shared" si="1"/>
        <v>82537132.52485034</v>
      </c>
      <c r="L19" s="1188">
        <f t="shared" si="2"/>
        <v>0.007921412557582524</v>
      </c>
      <c r="M19" s="1189">
        <v>0.0024</v>
      </c>
    </row>
    <row r="20" spans="1:13" ht="15">
      <c r="A20" s="1186" t="s">
        <v>812</v>
      </c>
      <c r="B20" s="1290">
        <v>58041435.456895575</v>
      </c>
      <c r="C20" s="1291">
        <v>11477981.712749999</v>
      </c>
      <c r="D20" s="1291">
        <v>13369130</v>
      </c>
      <c r="E20" s="1291">
        <v>200000000</v>
      </c>
      <c r="F20" s="1187"/>
      <c r="G20" s="1187"/>
      <c r="H20" s="1187"/>
      <c r="I20" s="1187"/>
      <c r="J20" s="1187"/>
      <c r="K20" s="1187">
        <f t="shared" si="1"/>
        <v>282888547.16964555</v>
      </c>
      <c r="L20" s="1188">
        <f t="shared" si="2"/>
        <v>0.02714992417832328</v>
      </c>
      <c r="M20" s="1189">
        <v>0.0032</v>
      </c>
    </row>
    <row r="21" spans="1:13" ht="15">
      <c r="A21" s="1186" t="s">
        <v>813</v>
      </c>
      <c r="B21" s="1290">
        <v>25053679.223020785</v>
      </c>
      <c r="C21" s="1291">
        <v>5738990.8563749995</v>
      </c>
      <c r="D21" s="1291">
        <v>0</v>
      </c>
      <c r="E21" s="1291">
        <v>50000000</v>
      </c>
      <c r="F21" s="1187"/>
      <c r="G21" s="1187"/>
      <c r="H21" s="1187"/>
      <c r="I21" s="1187"/>
      <c r="J21" s="1187"/>
      <c r="K21" s="1183">
        <f t="shared" si="1"/>
        <v>80792670.07939579</v>
      </c>
      <c r="L21" s="1188">
        <f t="shared" si="2"/>
        <v>0.007753989649868905</v>
      </c>
      <c r="M21" s="1189">
        <v>0</v>
      </c>
    </row>
    <row r="22" spans="1:13" ht="15">
      <c r="A22" s="1186" t="s">
        <v>814</v>
      </c>
      <c r="B22" s="1290">
        <v>18446915.260801733</v>
      </c>
      <c r="C22" s="1291">
        <v>28694954.281874996</v>
      </c>
      <c r="D22" s="1291">
        <v>9150000</v>
      </c>
      <c r="E22" s="1291">
        <v>130000000</v>
      </c>
      <c r="F22" s="1187"/>
      <c r="G22" s="1187"/>
      <c r="H22" s="1187"/>
      <c r="I22" s="1187"/>
      <c r="J22" s="1187"/>
      <c r="K22" s="1183">
        <f t="shared" si="1"/>
        <v>186291869.54267672</v>
      </c>
      <c r="L22" s="1188">
        <f t="shared" si="2"/>
        <v>0.017879161895121346</v>
      </c>
      <c r="M22" s="1189">
        <v>0.0012</v>
      </c>
    </row>
    <row r="23" spans="1:13" ht="15">
      <c r="A23" s="1186" t="s">
        <v>815</v>
      </c>
      <c r="B23" s="1290">
        <v>58041435.456895575</v>
      </c>
      <c r="C23" s="1291">
        <v>5738990.8563749995</v>
      </c>
      <c r="D23" s="1291">
        <v>0</v>
      </c>
      <c r="E23" s="1291">
        <v>100000000</v>
      </c>
      <c r="F23" s="1187"/>
      <c r="G23" s="1187"/>
      <c r="H23" s="1187"/>
      <c r="I23" s="1187"/>
      <c r="J23" s="1187"/>
      <c r="K23" s="1183">
        <f t="shared" si="1"/>
        <v>163780426.31327057</v>
      </c>
      <c r="L23" s="1188">
        <f t="shared" si="2"/>
        <v>0.01571865033345503</v>
      </c>
      <c r="M23" s="1189">
        <v>0.0004</v>
      </c>
    </row>
    <row r="24" spans="1:13" ht="15">
      <c r="A24" s="1186" t="s">
        <v>816</v>
      </c>
      <c r="B24" s="1290">
        <v>0</v>
      </c>
      <c r="C24" s="1291">
        <v>3524841.712401055</v>
      </c>
      <c r="D24" s="1291">
        <v>0</v>
      </c>
      <c r="E24" s="1291">
        <v>0</v>
      </c>
      <c r="F24" s="1187"/>
      <c r="G24" s="1187"/>
      <c r="H24" s="1187"/>
      <c r="I24" s="1187"/>
      <c r="J24" s="1187"/>
      <c r="K24" s="1183">
        <f t="shared" si="1"/>
        <v>3524841.712401055</v>
      </c>
      <c r="L24" s="1188">
        <f t="shared" si="2"/>
        <v>0.0003382928937553981</v>
      </c>
      <c r="M24" s="1189">
        <v>0</v>
      </c>
    </row>
    <row r="25" spans="1:13" ht="15">
      <c r="A25" s="1182" t="s">
        <v>817</v>
      </c>
      <c r="B25" s="1292">
        <f aca="true" t="shared" si="4" ref="B25:J25">SUM(B26:B33)</f>
        <v>762974498.68508</v>
      </c>
      <c r="C25" s="1289">
        <f t="shared" si="4"/>
        <v>306079512.3399999</v>
      </c>
      <c r="D25" s="1289">
        <v>195694346</v>
      </c>
      <c r="E25" s="1289">
        <f t="shared" si="4"/>
        <v>2010000000</v>
      </c>
      <c r="F25" s="1183">
        <f t="shared" si="4"/>
        <v>0</v>
      </c>
      <c r="G25" s="1183">
        <f t="shared" si="4"/>
        <v>0</v>
      </c>
      <c r="H25" s="1183">
        <f t="shared" si="4"/>
        <v>0</v>
      </c>
      <c r="I25" s="1183">
        <f t="shared" si="4"/>
        <v>0</v>
      </c>
      <c r="J25" s="1183">
        <f t="shared" si="4"/>
        <v>0</v>
      </c>
      <c r="K25" s="1183">
        <f>+E25+D25+C25+B25</f>
        <v>3274748357.02508</v>
      </c>
      <c r="L25" s="1184">
        <f t="shared" si="2"/>
        <v>0.31429045285103635</v>
      </c>
      <c r="M25" s="1185">
        <f>SUM(M26:M33)</f>
        <v>0.6758</v>
      </c>
    </row>
    <row r="26" spans="1:13" ht="15">
      <c r="A26" s="1186" t="s">
        <v>818</v>
      </c>
      <c r="B26" s="1290">
        <v>233463299.6621468</v>
      </c>
      <c r="C26" s="1291">
        <v>153039756.17</v>
      </c>
      <c r="D26" s="1291">
        <v>53995652</v>
      </c>
      <c r="E26" s="1291">
        <v>1200000000</v>
      </c>
      <c r="F26" s="1187"/>
      <c r="G26" s="1187"/>
      <c r="H26" s="1187"/>
      <c r="I26" s="1187"/>
      <c r="J26" s="1187"/>
      <c r="K26" s="1187">
        <f aca="true" t="shared" si="5" ref="K26:K37">+E26+D26+C26+B26</f>
        <v>1640498707.832147</v>
      </c>
      <c r="L26" s="1188">
        <f t="shared" si="2"/>
        <v>0.15744509976775495</v>
      </c>
      <c r="M26" s="1189">
        <v>0.4483</v>
      </c>
    </row>
    <row r="27" spans="1:13" ht="15">
      <c r="A27" s="1186" t="s">
        <v>819</v>
      </c>
      <c r="B27" s="1290">
        <v>56358968.71689875</v>
      </c>
      <c r="C27" s="1291">
        <v>30607951.233999997</v>
      </c>
      <c r="D27" s="1291">
        <v>22385797</v>
      </c>
      <c r="E27" s="1291">
        <v>70000000</v>
      </c>
      <c r="F27" s="1187"/>
      <c r="G27" s="1187"/>
      <c r="H27" s="1187"/>
      <c r="I27" s="1187"/>
      <c r="J27" s="1187"/>
      <c r="K27" s="1187">
        <f t="shared" si="5"/>
        <v>179352716.95089874</v>
      </c>
      <c r="L27" s="1188">
        <f t="shared" si="2"/>
        <v>0.017213184185477248</v>
      </c>
      <c r="M27" s="1189">
        <v>0.0336</v>
      </c>
    </row>
    <row r="28" spans="1:13" ht="15">
      <c r="A28" s="1186" t="s">
        <v>820</v>
      </c>
      <c r="B28" s="1290">
        <v>80276336.62085682</v>
      </c>
      <c r="C28" s="1291">
        <v>15303975.616999999</v>
      </c>
      <c r="D28" s="1291">
        <v>14835796</v>
      </c>
      <c r="E28" s="1291">
        <v>40000000</v>
      </c>
      <c r="F28" s="1187"/>
      <c r="G28" s="1187"/>
      <c r="H28" s="1187"/>
      <c r="I28" s="1187"/>
      <c r="J28" s="1187"/>
      <c r="K28" s="1187">
        <f t="shared" si="5"/>
        <v>150416108.2378568</v>
      </c>
      <c r="L28" s="1188">
        <f t="shared" si="2"/>
        <v>0.014436024274278139</v>
      </c>
      <c r="M28" s="1189">
        <v>0.0036</v>
      </c>
    </row>
    <row r="29" spans="1:13" ht="15">
      <c r="A29" s="1186" t="s">
        <v>821</v>
      </c>
      <c r="B29" s="1290">
        <v>4186709.86909091</v>
      </c>
      <c r="C29" s="1291">
        <v>0</v>
      </c>
      <c r="D29" s="1291">
        <v>0</v>
      </c>
      <c r="E29" s="1291">
        <v>0</v>
      </c>
      <c r="F29" s="1187"/>
      <c r="G29" s="1187"/>
      <c r="H29" s="1187"/>
      <c r="I29" s="1187"/>
      <c r="J29" s="1187"/>
      <c r="K29" s="1187">
        <f t="shared" si="5"/>
        <v>4186709.86909091</v>
      </c>
      <c r="L29" s="1188">
        <f t="shared" si="2"/>
        <v>0.00040181497851268566</v>
      </c>
      <c r="M29" s="1189">
        <v>0.0034</v>
      </c>
    </row>
    <row r="30" spans="1:13" ht="15">
      <c r="A30" s="1186" t="s">
        <v>822</v>
      </c>
      <c r="B30" s="1290">
        <v>42784384.074752524</v>
      </c>
      <c r="C30" s="1291">
        <v>15303975.616999999</v>
      </c>
      <c r="D30" s="1291">
        <v>19135797</v>
      </c>
      <c r="E30" s="1291">
        <v>130000000</v>
      </c>
      <c r="F30" s="1187"/>
      <c r="G30" s="1187"/>
      <c r="H30" s="1187"/>
      <c r="I30" s="1187"/>
      <c r="J30" s="1187"/>
      <c r="K30" s="1187">
        <f t="shared" si="5"/>
        <v>207224156.6917525</v>
      </c>
      <c r="L30" s="1188">
        <f t="shared" si="2"/>
        <v>0.019888115649744322</v>
      </c>
      <c r="M30" s="1189">
        <v>0.0176</v>
      </c>
    </row>
    <row r="31" spans="1:13" ht="15">
      <c r="A31" s="1186" t="s">
        <v>823</v>
      </c>
      <c r="B31" s="1290">
        <v>68856286.23226684</v>
      </c>
      <c r="C31" s="1291">
        <v>30607951.233999997</v>
      </c>
      <c r="D31" s="1291">
        <v>14366667</v>
      </c>
      <c r="E31" s="1291">
        <v>40000000</v>
      </c>
      <c r="F31" s="1187"/>
      <c r="G31" s="1187"/>
      <c r="H31" s="1187"/>
      <c r="I31" s="1187"/>
      <c r="J31" s="1187"/>
      <c r="K31" s="1187">
        <f t="shared" si="5"/>
        <v>153830904.46626684</v>
      </c>
      <c r="L31" s="1188">
        <f t="shared" si="2"/>
        <v>0.01476375567101849</v>
      </c>
      <c r="M31" s="1189">
        <v>0.016</v>
      </c>
    </row>
    <row r="32" spans="1:13" ht="15">
      <c r="A32" s="1186" t="s">
        <v>824</v>
      </c>
      <c r="B32" s="1290">
        <v>56358968.71689875</v>
      </c>
      <c r="C32" s="1291">
        <v>30607951.233999997</v>
      </c>
      <c r="D32" s="1291">
        <v>22304927</v>
      </c>
      <c r="E32" s="1291">
        <v>130000000</v>
      </c>
      <c r="F32" s="1187"/>
      <c r="G32" s="1187"/>
      <c r="H32" s="1187"/>
      <c r="I32" s="1187"/>
      <c r="J32" s="1187"/>
      <c r="K32" s="1187">
        <f t="shared" si="5"/>
        <v>239271846.95089874</v>
      </c>
      <c r="L32" s="1188">
        <f t="shared" si="2"/>
        <v>0.022963858267576156</v>
      </c>
      <c r="M32" s="1189">
        <v>0.0401</v>
      </c>
    </row>
    <row r="33" spans="1:13" ht="15">
      <c r="A33" s="1186" t="s">
        <v>825</v>
      </c>
      <c r="B33" s="1290">
        <v>220689544.79216865</v>
      </c>
      <c r="C33" s="1291">
        <v>30607951.233999997</v>
      </c>
      <c r="D33" s="1291">
        <v>48669710</v>
      </c>
      <c r="E33" s="1291">
        <v>400000000</v>
      </c>
      <c r="F33" s="1187"/>
      <c r="G33" s="1187"/>
      <c r="H33" s="1187"/>
      <c r="I33" s="1187"/>
      <c r="J33" s="1187"/>
      <c r="K33" s="1187">
        <f t="shared" si="5"/>
        <v>699967206.0261686</v>
      </c>
      <c r="L33" s="1188">
        <f t="shared" si="2"/>
        <v>0.06717860005667431</v>
      </c>
      <c r="M33" s="1189">
        <v>0.1132</v>
      </c>
    </row>
    <row r="34" spans="1:13" ht="15">
      <c r="A34" s="1182" t="s">
        <v>826</v>
      </c>
      <c r="B34" s="1292">
        <f>SUM(B35:B37)</f>
        <v>39640583.77331429</v>
      </c>
      <c r="C34" s="1289">
        <f>SUM(C35:C37)</f>
        <v>15303975.616999999</v>
      </c>
      <c r="D34" s="1289">
        <v>9150000</v>
      </c>
      <c r="E34" s="1289">
        <f>+E35+E36+E37</f>
        <v>80000000</v>
      </c>
      <c r="F34" s="1183">
        <f>SUM(F35:F37)</f>
        <v>0</v>
      </c>
      <c r="G34" s="1183">
        <f>SUM(G35:G37)</f>
        <v>0</v>
      </c>
      <c r="H34" s="1183">
        <f>SUM(H35:H37)</f>
        <v>0</v>
      </c>
      <c r="I34" s="1183">
        <f>SUM(I35:I37)</f>
        <v>0</v>
      </c>
      <c r="J34" s="1183">
        <f>SUM(J35:J37)</f>
        <v>0</v>
      </c>
      <c r="K34" s="1183">
        <f t="shared" si="5"/>
        <v>144094559.39031428</v>
      </c>
      <c r="L34" s="1184">
        <f t="shared" si="2"/>
        <v>0.013829320419995125</v>
      </c>
      <c r="M34" s="1185">
        <f>SUM(M35:M37)</f>
        <v>0.006699999999999999</v>
      </c>
    </row>
    <row r="35" spans="1:13" ht="15">
      <c r="A35" s="1186" t="s">
        <v>826</v>
      </c>
      <c r="B35" s="1290">
        <v>0</v>
      </c>
      <c r="C35" s="1291">
        <v>5050311.95361</v>
      </c>
      <c r="D35" s="1291">
        <v>0</v>
      </c>
      <c r="E35" s="1291">
        <v>0</v>
      </c>
      <c r="F35" s="1187"/>
      <c r="G35" s="1187"/>
      <c r="H35" s="1187"/>
      <c r="I35" s="1187"/>
      <c r="J35" s="1187"/>
      <c r="K35" s="1183">
        <f t="shared" si="5"/>
        <v>5050311.95361</v>
      </c>
      <c r="L35" s="1188">
        <f t="shared" si="2"/>
        <v>0.0004846982601072369</v>
      </c>
      <c r="M35" s="1189">
        <v>0.0003</v>
      </c>
    </row>
    <row r="36" spans="1:13" ht="15">
      <c r="A36" s="1186" t="s">
        <v>827</v>
      </c>
      <c r="B36" s="1290">
        <v>19820291.886657145</v>
      </c>
      <c r="C36" s="1291">
        <v>5203351.70978</v>
      </c>
      <c r="D36" s="1291">
        <v>9150000</v>
      </c>
      <c r="E36" s="1291">
        <v>60000000</v>
      </c>
      <c r="F36" s="1187"/>
      <c r="G36" s="1187"/>
      <c r="H36" s="1187"/>
      <c r="I36" s="1187"/>
      <c r="J36" s="1187"/>
      <c r="K36" s="1183">
        <f t="shared" si="5"/>
        <v>94173643.59643716</v>
      </c>
      <c r="L36" s="1188">
        <f t="shared" si="2"/>
        <v>0.009038214197149577</v>
      </c>
      <c r="M36" s="1189">
        <v>0.0052</v>
      </c>
    </row>
    <row r="37" spans="1:13" ht="15">
      <c r="A37" s="1186" t="s">
        <v>828</v>
      </c>
      <c r="B37" s="1290">
        <v>19820291.886657145</v>
      </c>
      <c r="C37" s="1291">
        <v>5050311.95361</v>
      </c>
      <c r="D37" s="1291">
        <v>0</v>
      </c>
      <c r="E37" s="1291">
        <v>20000000</v>
      </c>
      <c r="F37" s="1187"/>
      <c r="G37" s="1187"/>
      <c r="H37" s="1187"/>
      <c r="I37" s="1187"/>
      <c r="J37" s="1187"/>
      <c r="K37" s="1183">
        <f t="shared" si="5"/>
        <v>44870603.840267144</v>
      </c>
      <c r="L37" s="1188">
        <f t="shared" si="2"/>
        <v>0.004306407962738313</v>
      </c>
      <c r="M37" s="1189">
        <v>0.0012</v>
      </c>
    </row>
    <row r="38" spans="1:13" ht="15">
      <c r="A38" s="1182" t="s">
        <v>829</v>
      </c>
      <c r="B38" s="1292">
        <f aca="true" t="shared" si="6" ref="B38:J38">SUM(B39:B45)</f>
        <v>106313881.2192457</v>
      </c>
      <c r="C38" s="1289">
        <f t="shared" si="6"/>
        <v>15303975.617</v>
      </c>
      <c r="D38" s="1289">
        <v>14450000</v>
      </c>
      <c r="E38" s="1289">
        <f t="shared" si="6"/>
        <v>190000000</v>
      </c>
      <c r="F38" s="1183">
        <f t="shared" si="6"/>
        <v>0</v>
      </c>
      <c r="G38" s="1183">
        <f t="shared" si="6"/>
        <v>0</v>
      </c>
      <c r="H38" s="1183">
        <f t="shared" si="6"/>
        <v>0</v>
      </c>
      <c r="I38" s="1183">
        <f t="shared" si="6"/>
        <v>0</v>
      </c>
      <c r="J38" s="1183">
        <f t="shared" si="6"/>
        <v>0</v>
      </c>
      <c r="K38" s="1183">
        <f>+E38+D38+C38+B38</f>
        <v>326067856.8362457</v>
      </c>
      <c r="L38" s="1184">
        <f t="shared" si="2"/>
        <v>0.03129401200107105</v>
      </c>
      <c r="M38" s="1185">
        <f>SUM(M39:M45)</f>
        <v>0.0134</v>
      </c>
    </row>
    <row r="39" spans="1:13" ht="15">
      <c r="A39" s="1186" t="s">
        <v>830</v>
      </c>
      <c r="B39" s="1290">
        <v>19820291.886657145</v>
      </c>
      <c r="C39" s="1291">
        <v>459119.26850999997</v>
      </c>
      <c r="D39" s="1291">
        <v>0</v>
      </c>
      <c r="E39" s="1291">
        <v>40000000</v>
      </c>
      <c r="F39" s="1187"/>
      <c r="G39" s="1187"/>
      <c r="H39" s="1187"/>
      <c r="I39" s="1187"/>
      <c r="J39" s="1187"/>
      <c r="K39" s="1183">
        <f aca="true" t="shared" si="7" ref="K39:K46">+E39+D39+C39+B39</f>
        <v>60279411.15516715</v>
      </c>
      <c r="L39" s="1188">
        <f t="shared" si="2"/>
        <v>0.005785251678624233</v>
      </c>
      <c r="M39" s="1189">
        <v>0.0001</v>
      </c>
    </row>
    <row r="40" spans="1:13" ht="15">
      <c r="A40" s="1186" t="s">
        <v>831</v>
      </c>
      <c r="B40" s="1290">
        <v>19820291.886657145</v>
      </c>
      <c r="C40" s="1291">
        <v>459119.26850999997</v>
      </c>
      <c r="D40" s="1291">
        <v>4300000</v>
      </c>
      <c r="E40" s="1291">
        <v>50000000</v>
      </c>
      <c r="F40" s="1187"/>
      <c r="G40" s="1187"/>
      <c r="H40" s="1187"/>
      <c r="I40" s="1187"/>
      <c r="J40" s="1187"/>
      <c r="K40" s="1183">
        <f t="shared" si="7"/>
        <v>74579411.15516715</v>
      </c>
      <c r="L40" s="1188">
        <f t="shared" si="2"/>
        <v>0.00715767880455237</v>
      </c>
      <c r="M40" s="1189">
        <v>0.0019</v>
      </c>
    </row>
    <row r="41" spans="1:13" ht="15">
      <c r="A41" s="1186" t="s">
        <v>832</v>
      </c>
      <c r="B41" s="1290">
        <v>0</v>
      </c>
      <c r="C41" s="1291">
        <v>459119.26850999997</v>
      </c>
      <c r="D41" s="1291">
        <v>0</v>
      </c>
      <c r="E41" s="1291">
        <v>0</v>
      </c>
      <c r="F41" s="1187"/>
      <c r="G41" s="1187"/>
      <c r="H41" s="1187"/>
      <c r="I41" s="1187"/>
      <c r="J41" s="1187"/>
      <c r="K41" s="1183">
        <f t="shared" si="7"/>
        <v>459119.26850999997</v>
      </c>
      <c r="L41" s="1188">
        <f t="shared" si="2"/>
        <v>4.4063478191566986E-05</v>
      </c>
      <c r="M41" s="1189">
        <v>0</v>
      </c>
    </row>
    <row r="42" spans="1:13" ht="15">
      <c r="A42" s="1186" t="s">
        <v>833</v>
      </c>
      <c r="B42" s="1290">
        <v>0</v>
      </c>
      <c r="C42" s="1291">
        <v>459119.26850999997</v>
      </c>
      <c r="D42" s="1291">
        <v>0</v>
      </c>
      <c r="E42" s="1291">
        <v>0</v>
      </c>
      <c r="F42" s="1187"/>
      <c r="G42" s="1187"/>
      <c r="H42" s="1187"/>
      <c r="I42" s="1187"/>
      <c r="J42" s="1187"/>
      <c r="K42" s="1183">
        <f t="shared" si="7"/>
        <v>459119.26850999997</v>
      </c>
      <c r="L42" s="1188">
        <f t="shared" si="2"/>
        <v>4.4063478191566986E-05</v>
      </c>
      <c r="M42" s="1189">
        <v>0.0006</v>
      </c>
    </row>
    <row r="43" spans="1:13" ht="15">
      <c r="A43" s="1186" t="s">
        <v>834</v>
      </c>
      <c r="B43" s="1290">
        <v>66673297.445931405</v>
      </c>
      <c r="C43" s="1291">
        <v>13161419.03062</v>
      </c>
      <c r="D43" s="1291">
        <v>10150000</v>
      </c>
      <c r="E43" s="1291">
        <v>100000000</v>
      </c>
      <c r="F43" s="1187"/>
      <c r="G43" s="1187"/>
      <c r="H43" s="1187"/>
      <c r="I43" s="1187"/>
      <c r="J43" s="1187"/>
      <c r="K43" s="1187">
        <f t="shared" si="7"/>
        <v>189984716.4765514</v>
      </c>
      <c r="L43" s="1188">
        <f t="shared" si="2"/>
        <v>0.018233578909383596</v>
      </c>
      <c r="M43" s="1189">
        <v>0.0108</v>
      </c>
    </row>
    <row r="44" spans="1:13" ht="15">
      <c r="A44" s="1186" t="s">
        <v>835</v>
      </c>
      <c r="B44" s="1290">
        <v>0</v>
      </c>
      <c r="C44" s="1291">
        <v>153039.75616999998</v>
      </c>
      <c r="D44" s="1291">
        <v>0</v>
      </c>
      <c r="E44" s="1291">
        <v>0</v>
      </c>
      <c r="F44" s="1187"/>
      <c r="G44" s="1187"/>
      <c r="H44" s="1187"/>
      <c r="I44" s="1187"/>
      <c r="J44" s="1187"/>
      <c r="K44" s="1183">
        <f t="shared" si="7"/>
        <v>153039.75616999998</v>
      </c>
      <c r="L44" s="1188">
        <f t="shared" si="2"/>
        <v>1.468782606385566E-05</v>
      </c>
      <c r="M44" s="1189">
        <v>0</v>
      </c>
    </row>
    <row r="45" spans="1:13" ht="15">
      <c r="A45" s="1186" t="s">
        <v>836</v>
      </c>
      <c r="B45" s="1290">
        <v>0</v>
      </c>
      <c r="C45" s="1291">
        <v>153039.75616999998</v>
      </c>
      <c r="D45" s="1291">
        <v>0</v>
      </c>
      <c r="E45" s="1291">
        <v>0</v>
      </c>
      <c r="F45" s="1187"/>
      <c r="G45" s="1187"/>
      <c r="H45" s="1187"/>
      <c r="I45" s="1187"/>
      <c r="J45" s="1187"/>
      <c r="K45" s="1183">
        <f t="shared" si="7"/>
        <v>153039.75616999998</v>
      </c>
      <c r="L45" s="1188">
        <f t="shared" si="2"/>
        <v>1.468782606385566E-05</v>
      </c>
      <c r="M45" s="1189">
        <v>0</v>
      </c>
    </row>
    <row r="46" spans="1:13" ht="30">
      <c r="A46" s="1191" t="s">
        <v>837</v>
      </c>
      <c r="B46" s="1292">
        <v>379965319.055</v>
      </c>
      <c r="C46" s="1289">
        <v>1654706699.7463999</v>
      </c>
      <c r="D46" s="1289">
        <v>614807827</v>
      </c>
      <c r="E46" s="1183">
        <v>695165946.33</v>
      </c>
      <c r="F46" s="1187"/>
      <c r="G46" s="1187"/>
      <c r="H46" s="1187"/>
      <c r="I46" s="1187"/>
      <c r="J46" s="1187"/>
      <c r="K46" s="1183">
        <f t="shared" si="7"/>
        <v>3344645792.1313996</v>
      </c>
      <c r="L46" s="1184">
        <f t="shared" si="2"/>
        <v>0.32099878403793947</v>
      </c>
      <c r="M46" s="1189"/>
    </row>
    <row r="47" spans="1:13" ht="15">
      <c r="A47" s="1186"/>
      <c r="B47" s="1293">
        <v>0</v>
      </c>
      <c r="C47" s="1291"/>
      <c r="D47" s="1289"/>
      <c r="E47" s="1291"/>
      <c r="F47" s="1187"/>
      <c r="G47" s="1187"/>
      <c r="H47" s="1187"/>
      <c r="I47" s="1187"/>
      <c r="J47" s="1187"/>
      <c r="K47" s="1187">
        <f>+E47+D47+C47+B47</f>
        <v>0</v>
      </c>
      <c r="L47" s="1192"/>
      <c r="M47" s="1189"/>
    </row>
    <row r="48" spans="1:13" ht="15.75" thickBot="1">
      <c r="A48" s="1193" t="s">
        <v>838</v>
      </c>
      <c r="B48" s="1294">
        <f>+B46+B38+B34+B25+B16+B9</f>
        <v>2260118760.230848</v>
      </c>
      <c r="C48" s="1195">
        <f>+C46+C38+C34+C25+C16+C9</f>
        <v>2423430322.3088007</v>
      </c>
      <c r="D48" s="1295">
        <f>D46+D38+D34+D25+D16+D9</f>
        <v>1110781737</v>
      </c>
      <c r="E48" s="1195">
        <f aca="true" t="shared" si="8" ref="E48:J48">+E46+E38+E34+E25+E16+E9</f>
        <v>4625165946.33</v>
      </c>
      <c r="F48" s="1194">
        <f t="shared" si="8"/>
        <v>0</v>
      </c>
      <c r="G48" s="1194">
        <f t="shared" si="8"/>
        <v>0</v>
      </c>
      <c r="H48" s="1194">
        <f t="shared" si="8"/>
        <v>0</v>
      </c>
      <c r="I48" s="1194">
        <f t="shared" si="8"/>
        <v>0</v>
      </c>
      <c r="J48" s="1194">
        <f t="shared" si="8"/>
        <v>0</v>
      </c>
      <c r="K48" s="1195">
        <f>+E48+D48+C48+B48</f>
        <v>10419496765.869648</v>
      </c>
      <c r="L48" s="1196">
        <f>+K48/K$48</f>
        <v>1</v>
      </c>
      <c r="M48" s="1197">
        <f>+M46+M38+M34+M25+M16+M9+0.0002</f>
        <v>1</v>
      </c>
    </row>
    <row r="49" spans="1:14" s="1285" customFormat="1" ht="19.5">
      <c r="A49" s="1283"/>
      <c r="B49" s="1296">
        <f>+GASTOS!B41</f>
        <v>2260118760.2308483</v>
      </c>
      <c r="C49" s="1296">
        <f>+GASTOS!E68</f>
        <v>2419905480.5964</v>
      </c>
      <c r="D49" s="1296">
        <f>+GASTOS!C107</f>
        <v>1110781737</v>
      </c>
      <c r="E49" s="1296">
        <f>+GASTOS!D134</f>
        <v>4625165946.33424</v>
      </c>
      <c r="F49" s="1286"/>
      <c r="G49" s="1286"/>
      <c r="H49" s="1286"/>
      <c r="I49" s="1286"/>
      <c r="J49" s="1286"/>
      <c r="K49" s="1286">
        <f>+GASTOS!H39</f>
        <v>11790094854.161488</v>
      </c>
      <c r="L49" s="1284"/>
      <c r="M49" s="1284"/>
      <c r="N49" s="1284"/>
    </row>
    <row r="50" spans="1:14" s="910" customFormat="1" ht="16.5">
      <c r="A50" s="1199" t="s">
        <v>761</v>
      </c>
      <c r="B50" s="1198">
        <f>+B49-B48</f>
        <v>0</v>
      </c>
      <c r="C50" s="1198"/>
      <c r="D50" s="1198">
        <f>+D49-D48</f>
        <v>0</v>
      </c>
      <c r="E50" s="1198">
        <f>+E48-E49</f>
        <v>-0.0042400360107421875</v>
      </c>
      <c r="F50" s="1198"/>
      <c r="G50" s="1198"/>
      <c r="H50" s="1198"/>
      <c r="I50" s="1198"/>
      <c r="J50" s="1198"/>
      <c r="K50" s="1200"/>
      <c r="L50" s="1198"/>
      <c r="M50" s="1198"/>
      <c r="N50" s="1198"/>
    </row>
    <row r="51" spans="1:13" ht="16.5">
      <c r="A51" s="1200"/>
      <c r="B51" s="1200"/>
      <c r="C51" s="1200"/>
      <c r="D51" s="1200"/>
      <c r="E51" s="1200"/>
      <c r="F51" s="1200"/>
      <c r="G51" s="1200"/>
      <c r="H51" s="1200"/>
      <c r="I51" s="1200"/>
      <c r="J51" s="1200"/>
      <c r="K51" s="1200"/>
      <c r="L51" s="1200"/>
      <c r="M51" s="1200"/>
    </row>
    <row r="52" spans="1:13" ht="16.5">
      <c r="A52" s="1200"/>
      <c r="B52" s="1200"/>
      <c r="C52" s="1200"/>
      <c r="D52" s="1200"/>
      <c r="E52" s="1200"/>
      <c r="F52" s="1200"/>
      <c r="G52" s="1200"/>
      <c r="H52" s="1200"/>
      <c r="I52" s="1200"/>
      <c r="J52" s="1200"/>
      <c r="K52" s="1200">
        <f>+K48-K49</f>
        <v>-1370598088.2918396</v>
      </c>
      <c r="L52" s="1200"/>
      <c r="M52" s="1200"/>
    </row>
    <row r="53" spans="1:13" ht="16.5">
      <c r="A53" s="1200"/>
      <c r="B53" s="1200"/>
      <c r="C53" s="1200"/>
      <c r="D53" s="1200"/>
      <c r="E53" s="1200"/>
      <c r="F53" s="1200"/>
      <c r="G53" s="1200"/>
      <c r="H53" s="1200"/>
      <c r="I53" s="1200"/>
      <c r="J53" s="1200"/>
      <c r="K53" s="1200"/>
      <c r="L53" s="1200"/>
      <c r="M53" s="1200"/>
    </row>
    <row r="54" spans="1:13" ht="16.5">
      <c r="A54" s="1200"/>
      <c r="B54" s="1200"/>
      <c r="C54" s="1200"/>
      <c r="D54" s="1200"/>
      <c r="E54" s="1200"/>
      <c r="F54" s="1200"/>
      <c r="G54" s="1200"/>
      <c r="H54" s="1200"/>
      <c r="I54" s="1200"/>
      <c r="J54" s="1200"/>
      <c r="K54" s="1200"/>
      <c r="L54" s="1200"/>
      <c r="M54" s="1200"/>
    </row>
    <row r="55" spans="1:13" ht="16.5">
      <c r="A55" s="1200"/>
      <c r="B55" s="1200"/>
      <c r="C55" s="1200"/>
      <c r="D55" s="1200"/>
      <c r="E55" s="1200"/>
      <c r="F55" s="1200"/>
      <c r="G55" s="1200"/>
      <c r="H55" s="1200"/>
      <c r="I55" s="1200"/>
      <c r="J55" s="1200"/>
      <c r="K55" s="1200"/>
      <c r="L55" s="1200"/>
      <c r="M55" s="1200"/>
    </row>
    <row r="56" spans="1:13" ht="16.5">
      <c r="A56" s="1200"/>
      <c r="B56" s="1200"/>
      <c r="C56" s="1200"/>
      <c r="D56" s="1200"/>
      <c r="E56" s="1200"/>
      <c r="F56" s="1200"/>
      <c r="G56" s="1200"/>
      <c r="H56" s="1200"/>
      <c r="I56" s="1200"/>
      <c r="J56" s="1200"/>
      <c r="K56" s="1200"/>
      <c r="L56" s="1200"/>
      <c r="M56" s="1200"/>
    </row>
    <row r="57" spans="1:13" ht="16.5">
      <c r="A57" s="1200"/>
      <c r="B57" s="1200"/>
      <c r="C57" s="1200"/>
      <c r="D57" s="1200"/>
      <c r="E57" s="1200"/>
      <c r="F57" s="1200"/>
      <c r="G57" s="1200"/>
      <c r="H57" s="1200"/>
      <c r="I57" s="1200"/>
      <c r="J57" s="1200"/>
      <c r="K57" s="1200"/>
      <c r="L57" s="1200"/>
      <c r="M57" s="1200"/>
    </row>
    <row r="58" spans="1:13" ht="16.5">
      <c r="A58" s="1200"/>
      <c r="B58" s="1200"/>
      <c r="C58" s="1200"/>
      <c r="D58" s="1200"/>
      <c r="E58" s="1200"/>
      <c r="F58" s="1200"/>
      <c r="G58" s="1200"/>
      <c r="H58" s="1200"/>
      <c r="I58" s="1200"/>
      <c r="J58" s="1200"/>
      <c r="K58" s="1200"/>
      <c r="L58" s="1200"/>
      <c r="M58" s="1200"/>
    </row>
    <row r="59" spans="1:13" ht="16.5">
      <c r="A59" s="1200"/>
      <c r="B59" s="1200"/>
      <c r="C59" s="1200"/>
      <c r="D59" s="1200"/>
      <c r="E59" s="1200"/>
      <c r="F59" s="1200"/>
      <c r="G59" s="1200"/>
      <c r="H59" s="1200"/>
      <c r="I59" s="1200"/>
      <c r="J59" s="1200"/>
      <c r="K59" s="1200"/>
      <c r="L59" s="1200"/>
      <c r="M59" s="1200"/>
    </row>
  </sheetData>
  <sheetProtection/>
  <mergeCells count="13">
    <mergeCell ref="E7:E8"/>
    <mergeCell ref="F7:F8"/>
    <mergeCell ref="A7:A8"/>
    <mergeCell ref="B7:B8"/>
    <mergeCell ref="C7:C8"/>
    <mergeCell ref="D7:D8"/>
    <mergeCell ref="M7:M8"/>
    <mergeCell ref="G7:G8"/>
    <mergeCell ref="H7:H8"/>
    <mergeCell ref="I7:I8"/>
    <mergeCell ref="J7:J8"/>
    <mergeCell ref="K7:K8"/>
    <mergeCell ref="L7:L8"/>
  </mergeCells>
  <printOptions/>
  <pageMargins left="0.9055118110236221" right="0.7480314960629921" top="0.2362204724409449" bottom="0.7086614173228347" header="0.15" footer="0"/>
  <pageSetup fitToHeight="1" fitToWidth="1" horizontalDpi="600" verticalDpi="600" orientation="landscape" scale="63" r:id="rId3"/>
  <legacyDrawing r:id="rId2"/>
</worksheet>
</file>

<file path=xl/worksheets/sheet13.xml><?xml version="1.0" encoding="utf-8"?>
<worksheet xmlns="http://schemas.openxmlformats.org/spreadsheetml/2006/main" xmlns:r="http://schemas.openxmlformats.org/officeDocument/2006/relationships">
  <dimension ref="A1:X1874"/>
  <sheetViews>
    <sheetView view="pageBreakPreview" zoomScale="75" zoomScaleNormal="70" zoomScaleSheetLayoutView="75" workbookViewId="0" topLeftCell="A1">
      <pane xSplit="1" ySplit="7" topLeftCell="B8" activePane="bottomRight" state="frozen"/>
      <selection pane="topLeft" activeCell="A1" sqref="A1"/>
      <selection pane="topRight" activeCell="B1" sqref="B1"/>
      <selection pane="bottomLeft" activeCell="A8" sqref="A8"/>
      <selection pane="bottomRight" activeCell="F8" sqref="F8"/>
    </sheetView>
  </sheetViews>
  <sheetFormatPr defaultColWidth="11.421875" defaultRowHeight="12.75" outlineLevelRow="1" outlineLevelCol="2"/>
  <cols>
    <col min="1" max="1" width="36.57421875" style="0" customWidth="1"/>
    <col min="2" max="2" width="21.7109375" style="0" customWidth="1"/>
    <col min="3" max="3" width="27.7109375" style="0" customWidth="1"/>
    <col min="4" max="4" width="19.140625" style="0" customWidth="1"/>
    <col min="5" max="5" width="19.28125" style="0" customWidth="1"/>
    <col min="6" max="6" width="22.7109375" style="0" customWidth="1"/>
    <col min="7" max="7" width="17.8515625" style="0" customWidth="1"/>
    <col min="8" max="8" width="16.140625" style="0" customWidth="1"/>
    <col min="9" max="9" width="15.28125" style="0" customWidth="1"/>
    <col min="10" max="10" width="16.28125" style="0" customWidth="1"/>
    <col min="11" max="11" width="17.140625" style="0" customWidth="1"/>
    <col min="12" max="12" width="22.140625" style="0" hidden="1" customWidth="1" outlineLevel="2"/>
    <col min="13" max="13" width="22.57421875" style="0" hidden="1" customWidth="1" outlineLevel="2"/>
    <col min="14" max="15" width="19.28125" style="0" hidden="1" customWidth="1" outlineLevel="2"/>
    <col min="16" max="16" width="19.140625" style="0" hidden="1" customWidth="1" outlineLevel="2"/>
    <col min="17" max="17" width="19.140625" style="0" hidden="1" customWidth="1" outlineLevel="1" collapsed="1"/>
    <col min="18" max="18" width="19.140625" style="0" customWidth="1" collapsed="1"/>
    <col min="19" max="19" width="19.140625" style="0" customWidth="1"/>
    <col min="20" max="20" width="10.28125" style="0" customWidth="1"/>
    <col min="21" max="21" width="13.8515625" style="0" bestFit="1" customWidth="1"/>
  </cols>
  <sheetData>
    <row r="1" spans="1:24" ht="12.75">
      <c r="A1" s="586"/>
      <c r="B1" s="586"/>
      <c r="C1" s="586"/>
      <c r="D1" s="586"/>
      <c r="E1" s="586"/>
      <c r="F1" s="586"/>
      <c r="G1" s="586"/>
      <c r="H1" s="586"/>
      <c r="I1" s="586"/>
      <c r="J1" s="586"/>
      <c r="K1" s="586"/>
      <c r="L1" s="586"/>
      <c r="M1" s="586"/>
      <c r="N1" s="586"/>
      <c r="O1" s="586"/>
      <c r="P1" s="586"/>
      <c r="Q1" s="586"/>
      <c r="R1" s="586"/>
      <c r="S1" s="586"/>
      <c r="T1" s="586"/>
      <c r="U1" s="586"/>
      <c r="V1" s="586"/>
      <c r="W1" s="586"/>
      <c r="X1" s="586"/>
    </row>
    <row r="2" spans="1:24" ht="15.75">
      <c r="A2" s="1390" t="s">
        <v>32</v>
      </c>
      <c r="B2" s="1390"/>
      <c r="C2" s="1390"/>
      <c r="D2" s="1390"/>
      <c r="E2" s="1390"/>
      <c r="F2" s="1390"/>
      <c r="G2" s="1390" t="s">
        <v>32</v>
      </c>
      <c r="H2" s="1390"/>
      <c r="I2" s="1390"/>
      <c r="J2" s="1390"/>
      <c r="K2" s="1390"/>
      <c r="L2" s="1390"/>
      <c r="M2" s="1390"/>
      <c r="N2" s="1390"/>
      <c r="O2" s="1390"/>
      <c r="P2" s="1390"/>
      <c r="Q2" s="1390"/>
      <c r="R2" s="1390"/>
      <c r="S2" s="1390"/>
      <c r="T2" s="1390"/>
      <c r="U2" s="586"/>
      <c r="V2" s="586"/>
      <c r="W2" s="586"/>
      <c r="X2" s="586"/>
    </row>
    <row r="3" spans="1:24" ht="12.75">
      <c r="A3" s="586"/>
      <c r="B3" s="586"/>
      <c r="C3" s="586"/>
      <c r="D3" s="586"/>
      <c r="E3" s="586"/>
      <c r="F3" s="586"/>
      <c r="G3" s="586"/>
      <c r="H3" s="586"/>
      <c r="I3" s="586"/>
      <c r="J3" s="586"/>
      <c r="K3" s="586"/>
      <c r="L3" s="586"/>
      <c r="M3" s="586"/>
      <c r="N3" s="586"/>
      <c r="O3" s="586"/>
      <c r="P3" s="586"/>
      <c r="Q3" s="586"/>
      <c r="R3" s="586"/>
      <c r="S3" s="586"/>
      <c r="T3" s="586"/>
      <c r="U3" s="586"/>
      <c r="V3" s="586"/>
      <c r="W3" s="586"/>
      <c r="X3" s="586"/>
    </row>
    <row r="4" spans="1:24" ht="15.75" thickBot="1">
      <c r="A4" s="852"/>
      <c r="B4" s="852"/>
      <c r="C4" s="855" t="s">
        <v>464</v>
      </c>
      <c r="D4" s="854">
        <v>1.0317</v>
      </c>
      <c r="E4" s="852"/>
      <c r="F4" s="852"/>
      <c r="G4" s="852"/>
      <c r="H4" s="852"/>
      <c r="I4" s="852"/>
      <c r="J4" s="852"/>
      <c r="K4" s="852"/>
      <c r="L4" s="852"/>
      <c r="M4" s="852"/>
      <c r="N4" s="852"/>
      <c r="O4" s="852"/>
      <c r="P4" s="852"/>
      <c r="Q4" s="852"/>
      <c r="R4" s="852"/>
      <c r="S4" s="852"/>
      <c r="T4" s="852"/>
      <c r="U4" s="586"/>
      <c r="V4" s="586"/>
      <c r="W4" s="586"/>
      <c r="X4" s="586"/>
    </row>
    <row r="5" spans="1:24" ht="15.75" thickBot="1">
      <c r="A5" s="389"/>
      <c r="B5" s="1392">
        <v>2011</v>
      </c>
      <c r="C5" s="1393"/>
      <c r="D5" s="1393"/>
      <c r="E5" s="1394"/>
      <c r="F5" s="1384" t="s">
        <v>365</v>
      </c>
      <c r="G5" s="1384" t="s">
        <v>398</v>
      </c>
      <c r="H5" s="1384" t="s">
        <v>399</v>
      </c>
      <c r="I5" s="1384" t="s">
        <v>400</v>
      </c>
      <c r="J5" s="1384" t="s">
        <v>401</v>
      </c>
      <c r="K5" s="1386" t="s">
        <v>669</v>
      </c>
      <c r="L5" s="1391"/>
      <c r="M5" s="1391"/>
      <c r="N5" s="1391"/>
      <c r="O5" s="526"/>
      <c r="P5" s="526"/>
      <c r="Q5" s="853"/>
      <c r="R5" s="853"/>
      <c r="S5" s="853"/>
      <c r="T5" s="853"/>
      <c r="U5" s="586"/>
      <c r="V5" s="586"/>
      <c r="W5" s="586"/>
      <c r="X5" s="586"/>
    </row>
    <row r="6" spans="1:24" ht="15.75" thickBot="1">
      <c r="A6" s="538" t="s">
        <v>382</v>
      </c>
      <c r="B6" s="1395"/>
      <c r="C6" s="1396"/>
      <c r="D6" s="1396"/>
      <c r="E6" s="1396"/>
      <c r="F6" s="1385"/>
      <c r="G6" s="1385"/>
      <c r="H6" s="1385"/>
      <c r="I6" s="1385"/>
      <c r="J6" s="1385"/>
      <c r="K6" s="1387"/>
      <c r="L6" s="539">
        <v>2004</v>
      </c>
      <c r="M6" s="540">
        <v>2005</v>
      </c>
      <c r="N6" s="540">
        <v>2006</v>
      </c>
      <c r="O6" s="540">
        <v>2007</v>
      </c>
      <c r="P6" s="540">
        <v>2008</v>
      </c>
      <c r="Q6" s="540">
        <v>2009</v>
      </c>
      <c r="R6" s="540">
        <v>2010</v>
      </c>
      <c r="S6" s="540">
        <v>2011</v>
      </c>
      <c r="T6" s="541" t="s">
        <v>668</v>
      </c>
      <c r="U6" s="586"/>
      <c r="V6" s="586"/>
      <c r="W6" s="586"/>
      <c r="X6" s="586"/>
    </row>
    <row r="7" spans="1:24" ht="31.5" customHeight="1">
      <c r="A7" s="847"/>
      <c r="B7" s="542" t="s">
        <v>396</v>
      </c>
      <c r="C7" s="1118" t="s">
        <v>590</v>
      </c>
      <c r="D7" s="542" t="s">
        <v>562</v>
      </c>
      <c r="E7" s="1119"/>
      <c r="F7" s="1120"/>
      <c r="G7" s="1120"/>
      <c r="H7" s="1120"/>
      <c r="I7" s="1121"/>
      <c r="J7" s="1121"/>
      <c r="K7" s="542"/>
      <c r="L7" s="542"/>
      <c r="M7" s="542"/>
      <c r="N7" s="542"/>
      <c r="O7" s="542"/>
      <c r="P7" s="542"/>
      <c r="Q7" s="542"/>
      <c r="R7" s="542"/>
      <c r="S7" s="542"/>
      <c r="T7" s="845"/>
      <c r="U7" s="586"/>
      <c r="V7" s="586"/>
      <c r="W7" s="586"/>
      <c r="X7" s="586"/>
    </row>
    <row r="8" spans="1:24" ht="23.25" customHeight="1" thickBot="1">
      <c r="A8" s="846" t="s">
        <v>296</v>
      </c>
      <c r="B8" s="544">
        <v>26000000</v>
      </c>
      <c r="C8" s="544">
        <f>+(7643240*$D$4)*2</f>
        <v>15771061.416000001</v>
      </c>
      <c r="D8" s="544">
        <v>25000000</v>
      </c>
      <c r="E8" s="1122"/>
      <c r="F8" s="1123">
        <f>SUM(B8:E8)</f>
        <v>66771061.416</v>
      </c>
      <c r="G8" s="1123">
        <f>+'[10]justificacion formulada'!$D$11</f>
        <v>12000000</v>
      </c>
      <c r="H8" s="1123">
        <v>14260000</v>
      </c>
      <c r="I8" s="1123"/>
      <c r="J8" s="1123">
        <f>+'[21]Version Final'!$G$101</f>
        <v>1500000</v>
      </c>
      <c r="K8" s="543">
        <f>SUM(F8:J8)</f>
        <v>94531061.41600001</v>
      </c>
      <c r="L8" s="543">
        <v>24861124</v>
      </c>
      <c r="M8" s="543">
        <v>31500000</v>
      </c>
      <c r="N8" s="543">
        <v>52500000</v>
      </c>
      <c r="O8" s="543">
        <f>+'[2]RES'!$J$27</f>
        <v>49600000</v>
      </c>
      <c r="P8" s="543">
        <v>154623996</v>
      </c>
      <c r="Q8" s="543">
        <v>48500000</v>
      </c>
      <c r="R8" s="543">
        <v>66564693.936000004</v>
      </c>
      <c r="S8" s="543">
        <f>+K8</f>
        <v>94531061.41600001</v>
      </c>
      <c r="T8" s="850">
        <f>+(S8-R8)/R8</f>
        <v>0.42013815171882024</v>
      </c>
      <c r="U8" s="899"/>
      <c r="V8" s="586"/>
      <c r="W8" s="586"/>
      <c r="X8" s="586"/>
    </row>
    <row r="9" spans="1:24" ht="15">
      <c r="A9" s="847"/>
      <c r="B9" s="542" t="s">
        <v>435</v>
      </c>
      <c r="C9" s="542" t="s">
        <v>160</v>
      </c>
      <c r="D9" s="542"/>
      <c r="E9" s="1119"/>
      <c r="F9" s="1124"/>
      <c r="G9" s="542"/>
      <c r="H9" s="542"/>
      <c r="I9" s="542"/>
      <c r="J9" s="542"/>
      <c r="K9" s="542"/>
      <c r="L9" s="542"/>
      <c r="M9" s="542"/>
      <c r="N9" s="542"/>
      <c r="O9" s="542"/>
      <c r="P9" s="542"/>
      <c r="Q9" s="542"/>
      <c r="R9" s="542"/>
      <c r="S9" s="542"/>
      <c r="T9" s="851"/>
      <c r="U9" s="586"/>
      <c r="V9" s="586"/>
      <c r="W9" s="586"/>
      <c r="X9" s="586"/>
    </row>
    <row r="10" spans="1:24" ht="15" thickBot="1">
      <c r="A10" s="846" t="s">
        <v>53</v>
      </c>
      <c r="B10" s="544">
        <f>2154000*D4</f>
        <v>2222281.8000000003</v>
      </c>
      <c r="C10" s="544">
        <f>1000000*D4*4</f>
        <v>4126800.0000000005</v>
      </c>
      <c r="D10" s="1125"/>
      <c r="E10" s="1126"/>
      <c r="F10" s="544">
        <f>SUM(B10:E10)</f>
        <v>6349081.800000001</v>
      </c>
      <c r="G10" s="1125"/>
      <c r="H10" s="1125"/>
      <c r="I10" s="1125"/>
      <c r="J10" s="1125"/>
      <c r="K10" s="543">
        <f>SUM(F10:J10)</f>
        <v>6349081.800000001</v>
      </c>
      <c r="L10" s="543">
        <v>4987947</v>
      </c>
      <c r="M10" s="543">
        <v>5196911</v>
      </c>
      <c r="N10" s="543">
        <v>4924000</v>
      </c>
      <c r="O10" s="543">
        <v>5145200</v>
      </c>
      <c r="P10" s="543">
        <v>5306073.369899999</v>
      </c>
      <c r="Q10" s="543">
        <v>5226217</v>
      </c>
      <c r="R10" s="543">
        <v>6232322.688</v>
      </c>
      <c r="S10" s="543">
        <f>+K10</f>
        <v>6349081.800000001</v>
      </c>
      <c r="T10" s="850">
        <f>+(S10-R10)/R10</f>
        <v>0.0187344458631473</v>
      </c>
      <c r="U10" s="899"/>
      <c r="V10" s="586"/>
      <c r="W10" s="586"/>
      <c r="X10" s="586"/>
    </row>
    <row r="11" spans="1:24" ht="15">
      <c r="A11" s="848"/>
      <c r="B11" s="1127" t="s">
        <v>161</v>
      </c>
      <c r="C11" s="1119" t="s">
        <v>162</v>
      </c>
      <c r="D11" s="1128"/>
      <c r="E11" s="1129"/>
      <c r="F11" s="1124"/>
      <c r="G11" s="1128"/>
      <c r="H11" s="1128"/>
      <c r="I11" s="1128"/>
      <c r="J11" s="1128"/>
      <c r="K11" s="542"/>
      <c r="L11" s="542"/>
      <c r="M11" s="542"/>
      <c r="N11" s="542"/>
      <c r="O11" s="542"/>
      <c r="P11" s="542"/>
      <c r="Q11" s="542"/>
      <c r="R11" s="542"/>
      <c r="S11" s="542"/>
      <c r="T11" s="851"/>
      <c r="U11" s="899"/>
      <c r="V11" s="586"/>
      <c r="W11" s="586"/>
      <c r="X11" s="586"/>
    </row>
    <row r="12" spans="1:24" ht="15" thickBot="1">
      <c r="A12" s="849" t="s">
        <v>54</v>
      </c>
      <c r="B12" s="544">
        <f>1000000*D4</f>
        <v>1031700.0000000001</v>
      </c>
      <c r="C12" s="1130">
        <f>(4000000*4)</f>
        <v>16000000</v>
      </c>
      <c r="D12" s="1125"/>
      <c r="E12" s="1126"/>
      <c r="F12" s="544">
        <f>SUM(B12:E12)</f>
        <v>17031700</v>
      </c>
      <c r="G12" s="544">
        <f>+'[10]justificacion formulada'!$D$26</f>
        <v>4968000</v>
      </c>
      <c r="H12" s="1125"/>
      <c r="I12" s="1125"/>
      <c r="J12" s="1125"/>
      <c r="K12" s="543">
        <f>SUM(F12:J12)</f>
        <v>21999700</v>
      </c>
      <c r="L12" s="543">
        <v>13481656</v>
      </c>
      <c r="M12" s="543">
        <v>15000000</v>
      </c>
      <c r="N12" s="543">
        <v>17900000</v>
      </c>
      <c r="O12" s="543">
        <v>17000000</v>
      </c>
      <c r="P12" s="543">
        <v>21000000</v>
      </c>
      <c r="Q12" s="543">
        <v>21150500</v>
      </c>
      <c r="R12" s="543">
        <v>21596520</v>
      </c>
      <c r="S12" s="543">
        <f>+K12</f>
        <v>21999700</v>
      </c>
      <c r="T12" s="850">
        <f>+(S12-R12)/R12</f>
        <v>0.01866874848355198</v>
      </c>
      <c r="U12" s="899"/>
      <c r="V12" s="586"/>
      <c r="W12" s="586"/>
      <c r="X12" s="586"/>
    </row>
    <row r="13" spans="1:24" ht="15">
      <c r="A13" s="848"/>
      <c r="B13" s="542" t="s">
        <v>561</v>
      </c>
      <c r="C13" s="542" t="s">
        <v>163</v>
      </c>
      <c r="D13" s="542" t="s">
        <v>159</v>
      </c>
      <c r="E13" s="1119" t="s">
        <v>750</v>
      </c>
      <c r="F13" s="1124"/>
      <c r="G13" s="542" t="s">
        <v>561</v>
      </c>
      <c r="H13" s="542" t="s">
        <v>561</v>
      </c>
      <c r="I13" s="542" t="s">
        <v>561</v>
      </c>
      <c r="J13" s="542" t="s">
        <v>561</v>
      </c>
      <c r="K13" s="542"/>
      <c r="L13" s="542"/>
      <c r="M13" s="542"/>
      <c r="N13" s="542"/>
      <c r="O13" s="542"/>
      <c r="P13" s="542"/>
      <c r="Q13" s="542"/>
      <c r="R13" s="542"/>
      <c r="S13" s="542"/>
      <c r="T13" s="851"/>
      <c r="U13" s="899"/>
      <c r="V13" s="586"/>
      <c r="W13" s="586"/>
      <c r="X13" s="586"/>
    </row>
    <row r="14" spans="1:24" ht="15" thickBot="1">
      <c r="A14" s="849" t="s">
        <v>33</v>
      </c>
      <c r="B14" s="544">
        <f>7200000*D4</f>
        <v>7428240</v>
      </c>
      <c r="C14" s="1131">
        <f>110143*D4*4</f>
        <v>454538.1324</v>
      </c>
      <c r="D14" s="544">
        <f>12500000*D4-6000000</f>
        <v>6896250</v>
      </c>
      <c r="E14" s="1130">
        <f>(1861800*2)+(3723600*D4)</f>
        <v>7565238.12</v>
      </c>
      <c r="F14" s="544">
        <f>SUM(B14:E14)</f>
        <v>22344266.2524</v>
      </c>
      <c r="G14" s="544">
        <f>6000000*D4</f>
        <v>6190200</v>
      </c>
      <c r="H14" s="544">
        <f>6000000*D4</f>
        <v>6190200</v>
      </c>
      <c r="I14" s="544">
        <f>6000000*D4</f>
        <v>6190200</v>
      </c>
      <c r="J14" s="544">
        <f>6000000*D4</f>
        <v>6190200</v>
      </c>
      <c r="K14" s="543">
        <f>+J14+I14+H14+G14+F14</f>
        <v>47105066.252399996</v>
      </c>
      <c r="L14" s="543">
        <v>14708029</v>
      </c>
      <c r="M14" s="543">
        <v>18319330</v>
      </c>
      <c r="N14" s="543">
        <v>21037738</v>
      </c>
      <c r="O14" s="543">
        <v>24558771</v>
      </c>
      <c r="P14" s="543">
        <v>28309323.18928</v>
      </c>
      <c r="Q14" s="543">
        <v>79142910</v>
      </c>
      <c r="R14" s="543">
        <v>51647654.3248</v>
      </c>
      <c r="S14" s="543">
        <f>+K14</f>
        <v>47105066.252399996</v>
      </c>
      <c r="T14" s="850">
        <f>+(S14-R14)/R14</f>
        <v>-0.08795342463827556</v>
      </c>
      <c r="U14" s="899"/>
      <c r="V14" s="586"/>
      <c r="W14" s="586"/>
      <c r="X14" s="586"/>
    </row>
    <row r="15" spans="1:24" ht="15">
      <c r="A15" s="848"/>
      <c r="B15" s="542" t="s">
        <v>164</v>
      </c>
      <c r="C15" s="542" t="s">
        <v>165</v>
      </c>
      <c r="D15" s="542" t="s">
        <v>166</v>
      </c>
      <c r="E15" s="1132" t="s">
        <v>167</v>
      </c>
      <c r="F15" s="1124"/>
      <c r="G15" s="1133"/>
      <c r="H15" s="1133"/>
      <c r="I15" s="1133"/>
      <c r="J15" s="1133"/>
      <c r="K15" s="542"/>
      <c r="L15" s="542"/>
      <c r="M15" s="542"/>
      <c r="N15" s="542"/>
      <c r="O15" s="542"/>
      <c r="P15" s="542"/>
      <c r="Q15" s="1134"/>
      <c r="R15" s="542"/>
      <c r="S15" s="542"/>
      <c r="T15" s="851"/>
      <c r="U15" s="899"/>
      <c r="V15" s="586"/>
      <c r="W15" s="586"/>
      <c r="X15" s="586"/>
    </row>
    <row r="16" spans="1:24" ht="15" thickBot="1">
      <c r="A16" s="849" t="s">
        <v>55</v>
      </c>
      <c r="B16" s="544">
        <f>13833386*D4</f>
        <v>14271904.3362</v>
      </c>
      <c r="C16" s="544">
        <f>327000*12</f>
        <v>3924000</v>
      </c>
      <c r="D16" s="544">
        <v>6386281</v>
      </c>
      <c r="E16" s="1135">
        <v>1000000</v>
      </c>
      <c r="F16" s="544">
        <f>SUM(B16:E16)</f>
        <v>25582185.3362</v>
      </c>
      <c r="G16" s="544">
        <f>(10068637+1680000)*D4</f>
        <v>12121068.792900002</v>
      </c>
      <c r="H16" s="544">
        <f>(3790413+4920000)*D4</f>
        <v>8986533.0921</v>
      </c>
      <c r="I16" s="544">
        <f>(4361442+1680000)*D4</f>
        <v>6232955.7114</v>
      </c>
      <c r="J16" s="544">
        <f>(6900029+1680000)*D4</f>
        <v>8852015.919300001</v>
      </c>
      <c r="K16" s="543">
        <f>SUM(F16:J16)+G15+H15+I15+J15</f>
        <v>61774758.85190001</v>
      </c>
      <c r="L16" s="543">
        <v>38228571</v>
      </c>
      <c r="M16" s="543">
        <v>38054963</v>
      </c>
      <c r="N16" s="543">
        <v>38520000</v>
      </c>
      <c r="O16" s="543">
        <v>50128576</v>
      </c>
      <c r="P16" s="543">
        <v>51500000</v>
      </c>
      <c r="Q16" s="543">
        <v>58683202</v>
      </c>
      <c r="R16" s="543">
        <v>62004654.21479999</v>
      </c>
      <c r="S16" s="543">
        <f>+K16</f>
        <v>61774758.85190001</v>
      </c>
      <c r="T16" s="850">
        <f>+(S16-R16)/R16</f>
        <v>-0.003707711393786103</v>
      </c>
      <c r="U16" s="899"/>
      <c r="V16" s="586"/>
      <c r="W16" s="586"/>
      <c r="X16" s="586"/>
    </row>
    <row r="17" spans="1:24" ht="15" outlineLevel="1">
      <c r="A17" s="848"/>
      <c r="B17" s="542" t="s">
        <v>397</v>
      </c>
      <c r="C17" s="1119" t="s">
        <v>168</v>
      </c>
      <c r="D17" s="542"/>
      <c r="E17" s="1119"/>
      <c r="F17" s="1124"/>
      <c r="G17" s="1119"/>
      <c r="H17" s="1136"/>
      <c r="I17" s="1136"/>
      <c r="J17" s="1136"/>
      <c r="K17" s="542"/>
      <c r="L17" s="542"/>
      <c r="M17" s="542"/>
      <c r="N17" s="542"/>
      <c r="O17" s="542"/>
      <c r="P17" s="542"/>
      <c r="Q17" s="542"/>
      <c r="R17" s="542"/>
      <c r="S17" s="542"/>
      <c r="T17" s="851"/>
      <c r="U17" s="899"/>
      <c r="V17" s="899"/>
      <c r="W17" s="586"/>
      <c r="X17" s="586"/>
    </row>
    <row r="18" spans="1:24" ht="15" outlineLevel="1" thickBot="1">
      <c r="A18" s="849" t="s">
        <v>34</v>
      </c>
      <c r="B18" s="1137">
        <f>(2695129)*D4*12</f>
        <v>33366775.0716</v>
      </c>
      <c r="C18" s="1130">
        <f>564883*D4*12</f>
        <v>6993477.4932</v>
      </c>
      <c r="D18" s="544"/>
      <c r="E18" s="1130"/>
      <c r="F18" s="544">
        <f>SUM(B18:E18)</f>
        <v>40360252.5648</v>
      </c>
      <c r="G18" s="544">
        <f>+'[10]justificacion formulada'!$D$28</f>
        <v>4800000</v>
      </c>
      <c r="H18" s="544">
        <v>2500000</v>
      </c>
      <c r="I18" s="1125"/>
      <c r="J18" s="1125"/>
      <c r="K18" s="543">
        <f>SUM(F18:J18)</f>
        <v>47660252.5648</v>
      </c>
      <c r="L18" s="543">
        <v>24826333</v>
      </c>
      <c r="M18" s="543">
        <v>33433111</v>
      </c>
      <c r="N18" s="543">
        <v>32843175</v>
      </c>
      <c r="O18" s="543">
        <v>34479000</v>
      </c>
      <c r="P18" s="543">
        <v>38333394</v>
      </c>
      <c r="Q18" s="543">
        <v>44396456</v>
      </c>
      <c r="R18" s="543">
        <v>44452174.3616</v>
      </c>
      <c r="S18" s="543">
        <f>+K18</f>
        <v>47660252.5648</v>
      </c>
      <c r="T18" s="850">
        <f>+(S18-R18)/R18</f>
        <v>0.07216920767707828</v>
      </c>
      <c r="U18" s="899"/>
      <c r="V18" s="586"/>
      <c r="W18" s="586"/>
      <c r="X18" s="586"/>
    </row>
    <row r="19" spans="1:24" ht="15" outlineLevel="1">
      <c r="A19" s="848"/>
      <c r="B19" s="542" t="s">
        <v>169</v>
      </c>
      <c r="C19" s="1138"/>
      <c r="D19" s="1282"/>
      <c r="E19" s="1138"/>
      <c r="F19" s="1124"/>
      <c r="G19" s="1136"/>
      <c r="H19" s="1136"/>
      <c r="I19" s="1136"/>
      <c r="J19" s="1136"/>
      <c r="K19" s="542"/>
      <c r="L19" s="542"/>
      <c r="M19" s="542"/>
      <c r="N19" s="542"/>
      <c r="O19" s="542"/>
      <c r="P19" s="542"/>
      <c r="Q19" s="542"/>
      <c r="R19" s="542"/>
      <c r="S19" s="542"/>
      <c r="T19" s="851"/>
      <c r="U19" s="899"/>
      <c r="V19" s="586"/>
      <c r="W19" s="586"/>
      <c r="X19" s="586"/>
    </row>
    <row r="20" spans="1:24" ht="15" outlineLevel="1" thickBot="1">
      <c r="A20" s="849" t="s">
        <v>387</v>
      </c>
      <c r="B20" s="1137">
        <f>1500000*12</f>
        <v>18000000</v>
      </c>
      <c r="C20" s="1126"/>
      <c r="D20" s="1125"/>
      <c r="E20" s="1126"/>
      <c r="F20" s="544">
        <f>SUM(B20:E20)</f>
        <v>18000000</v>
      </c>
      <c r="G20" s="1139">
        <f>+'[10]justificacion formulada'!$D$12</f>
        <v>175176000</v>
      </c>
      <c r="H20" s="1139">
        <v>11000000</v>
      </c>
      <c r="I20" s="1139">
        <v>15000000</v>
      </c>
      <c r="J20" s="1139">
        <f>+'[21]Version Final'!$G$98</f>
        <v>15000000</v>
      </c>
      <c r="K20" s="543">
        <f>SUM(F20:J20)</f>
        <v>234176000</v>
      </c>
      <c r="L20" s="543">
        <v>8566019</v>
      </c>
      <c r="M20" s="543">
        <v>9353350</v>
      </c>
      <c r="N20" s="543">
        <v>9000000</v>
      </c>
      <c r="O20" s="543">
        <v>179400000</v>
      </c>
      <c r="P20" s="543">
        <v>204044096</v>
      </c>
      <c r="Q20" s="543">
        <v>174560183</v>
      </c>
      <c r="R20" s="543">
        <v>205460000</v>
      </c>
      <c r="S20" s="543">
        <f>+K20</f>
        <v>234176000</v>
      </c>
      <c r="T20" s="850">
        <f>+(S20-R20)/R20</f>
        <v>0.13976443103280445</v>
      </c>
      <c r="U20" s="899"/>
      <c r="V20" s="586"/>
      <c r="W20" s="586"/>
      <c r="X20" s="586"/>
    </row>
    <row r="21" spans="1:24" ht="15" outlineLevel="1">
      <c r="A21" s="848"/>
      <c r="B21" s="542" t="s">
        <v>391</v>
      </c>
      <c r="C21" s="1119" t="s">
        <v>390</v>
      </c>
      <c r="D21" s="1136"/>
      <c r="E21" s="1138"/>
      <c r="F21" s="1124"/>
      <c r="G21" s="1136"/>
      <c r="H21" s="1136"/>
      <c r="I21" s="1136"/>
      <c r="J21" s="1136"/>
      <c r="K21" s="542"/>
      <c r="L21" s="542"/>
      <c r="M21" s="542"/>
      <c r="N21" s="542"/>
      <c r="O21" s="542"/>
      <c r="P21" s="542"/>
      <c r="Q21" s="542"/>
      <c r="R21" s="542"/>
      <c r="S21" s="542"/>
      <c r="T21" s="851"/>
      <c r="U21" s="899"/>
      <c r="V21" s="586"/>
      <c r="W21" s="586"/>
      <c r="X21" s="586"/>
    </row>
    <row r="22" spans="1:24" ht="15" outlineLevel="1" thickBot="1">
      <c r="A22" s="849" t="s">
        <v>297</v>
      </c>
      <c r="B22" s="544">
        <f>7000000*D4</f>
        <v>7221900</v>
      </c>
      <c r="C22" s="1130">
        <f>(2428000*D4)</f>
        <v>2504967.6</v>
      </c>
      <c r="D22" s="1125"/>
      <c r="E22" s="1126"/>
      <c r="F22" s="544">
        <f>SUM(B22:E22)</f>
        <v>9726867.6</v>
      </c>
      <c r="G22" s="1139">
        <f>+'[10]justificacion formulada'!$D$21</f>
        <v>12000000</v>
      </c>
      <c r="H22" s="1139">
        <v>24308078</v>
      </c>
      <c r="I22" s="1139"/>
      <c r="J22" s="1139"/>
      <c r="K22" s="544">
        <f>SUM(F22:J22)</f>
        <v>46034945.6</v>
      </c>
      <c r="L22" s="545">
        <v>21111853</v>
      </c>
      <c r="M22" s="543">
        <v>20000000</v>
      </c>
      <c r="N22" s="543">
        <v>47100000</v>
      </c>
      <c r="O22" s="543">
        <f>+'[2]RES'!$J$34</f>
        <v>62130000</v>
      </c>
      <c r="P22" s="543">
        <v>64295800</v>
      </c>
      <c r="Q22" s="543">
        <v>44851839</v>
      </c>
      <c r="R22" s="543">
        <v>40170873</v>
      </c>
      <c r="S22" s="543">
        <f>+K22</f>
        <v>46034945.6</v>
      </c>
      <c r="T22" s="850">
        <f>+(S22-R22)/R22</f>
        <v>0.14597822158358376</v>
      </c>
      <c r="U22" s="899"/>
      <c r="V22" s="586"/>
      <c r="W22" s="586"/>
      <c r="X22" s="586"/>
    </row>
    <row r="23" spans="1:24" ht="15" outlineLevel="1">
      <c r="A23" s="848"/>
      <c r="B23" s="542" t="s">
        <v>648</v>
      </c>
      <c r="C23" s="1119" t="s">
        <v>856</v>
      </c>
      <c r="D23" s="542"/>
      <c r="E23" s="1138"/>
      <c r="F23" s="1124"/>
      <c r="G23" s="1136"/>
      <c r="H23" s="1136"/>
      <c r="I23" s="1136"/>
      <c r="J23" s="1136"/>
      <c r="K23" s="542"/>
      <c r="L23" s="542"/>
      <c r="M23" s="542"/>
      <c r="N23" s="542"/>
      <c r="O23" s="542"/>
      <c r="P23" s="542"/>
      <c r="Q23" s="542"/>
      <c r="R23" s="542"/>
      <c r="S23" s="542"/>
      <c r="T23" s="851"/>
      <c r="U23" s="899"/>
      <c r="V23" s="586"/>
      <c r="W23" s="586"/>
      <c r="X23" s="586"/>
    </row>
    <row r="24" spans="1:24" ht="15" outlineLevel="1" thickBot="1">
      <c r="A24" s="849" t="s">
        <v>35</v>
      </c>
      <c r="B24" s="544">
        <v>15000000</v>
      </c>
      <c r="C24" s="1130">
        <v>15000000</v>
      </c>
      <c r="D24" s="544"/>
      <c r="E24" s="1126"/>
      <c r="F24" s="544">
        <f>SUM(B24:E24)</f>
        <v>30000000</v>
      </c>
      <c r="G24" s="1139">
        <f>+'[10]justificacion formulada'!$D$22</f>
        <v>42000000</v>
      </c>
      <c r="H24" s="1139">
        <v>45687646</v>
      </c>
      <c r="I24" s="1139">
        <v>6000000</v>
      </c>
      <c r="J24" s="1139">
        <f>+'[21]Version Final'!$G$99</f>
        <v>10000000</v>
      </c>
      <c r="K24" s="544">
        <f>SUM(F24:J24)</f>
        <v>133687646</v>
      </c>
      <c r="L24" s="544">
        <v>41213743</v>
      </c>
      <c r="M24" s="544">
        <v>28251650</v>
      </c>
      <c r="N24" s="544">
        <v>63480000</v>
      </c>
      <c r="O24" s="544">
        <f>+'[2]RES'!$J$35</f>
        <v>84000000</v>
      </c>
      <c r="P24" s="544">
        <v>91000000</v>
      </c>
      <c r="Q24" s="544">
        <v>119800000</v>
      </c>
      <c r="R24" s="544">
        <v>114328306</v>
      </c>
      <c r="S24" s="543">
        <f>+K24</f>
        <v>133687646</v>
      </c>
      <c r="T24" s="850">
        <f>+(S24-R24)/R24</f>
        <v>0.1693311191018609</v>
      </c>
      <c r="U24" s="899"/>
      <c r="V24" s="586"/>
      <c r="W24" s="586"/>
      <c r="X24" s="586"/>
    </row>
    <row r="25" spans="1:24" ht="15" outlineLevel="1">
      <c r="A25" s="848"/>
      <c r="B25" s="542" t="s">
        <v>170</v>
      </c>
      <c r="C25" s="1119" t="s">
        <v>171</v>
      </c>
      <c r="D25" s="1136"/>
      <c r="E25" s="1138"/>
      <c r="F25" s="1124"/>
      <c r="G25" s="1136"/>
      <c r="H25" s="1136"/>
      <c r="I25" s="1136"/>
      <c r="J25" s="1136"/>
      <c r="K25" s="542"/>
      <c r="L25" s="542"/>
      <c r="M25" s="542"/>
      <c r="N25" s="542"/>
      <c r="O25" s="542"/>
      <c r="P25" s="542"/>
      <c r="Q25" s="542"/>
      <c r="R25" s="542"/>
      <c r="S25" s="542"/>
      <c r="T25" s="851"/>
      <c r="U25" s="899"/>
      <c r="V25" s="586"/>
      <c r="W25" s="586"/>
      <c r="X25" s="586"/>
    </row>
    <row r="26" spans="1:24" ht="15" outlineLevel="1" thickBot="1">
      <c r="A26" s="849" t="s">
        <v>51</v>
      </c>
      <c r="B26" s="544">
        <f>2500000*D4</f>
        <v>2579250</v>
      </c>
      <c r="C26" s="1130">
        <f>500000*D4</f>
        <v>515850.00000000006</v>
      </c>
      <c r="D26" s="544"/>
      <c r="E26" s="1126"/>
      <c r="F26" s="544">
        <f>SUM(B26:E26)</f>
        <v>3095100</v>
      </c>
      <c r="G26" s="544">
        <f>+'[10]justificacion formulada'!$D$25</f>
        <v>1560000</v>
      </c>
      <c r="H26" s="544"/>
      <c r="I26" s="544"/>
      <c r="J26" s="544"/>
      <c r="K26" s="544">
        <f>SUM(F26:J26)</f>
        <v>4655100</v>
      </c>
      <c r="L26" s="545">
        <v>2386400</v>
      </c>
      <c r="M26" s="543">
        <v>3032800</v>
      </c>
      <c r="N26" s="543">
        <v>3185000</v>
      </c>
      <c r="O26" s="543">
        <v>4000000</v>
      </c>
      <c r="P26" s="543">
        <v>4500000</v>
      </c>
      <c r="Q26" s="543">
        <v>4500000</v>
      </c>
      <c r="R26" s="543">
        <v>4609200</v>
      </c>
      <c r="S26" s="543">
        <f>+K26</f>
        <v>4655100</v>
      </c>
      <c r="T26" s="850">
        <f>+(S26-R26)/R26</f>
        <v>0.009958344181202812</v>
      </c>
      <c r="U26" s="899"/>
      <c r="V26" s="586"/>
      <c r="W26" s="586"/>
      <c r="X26" s="586"/>
    </row>
    <row r="27" spans="1:24" ht="15" outlineLevel="1">
      <c r="A27" s="848"/>
      <c r="B27" s="542" t="s">
        <v>172</v>
      </c>
      <c r="C27" s="1119" t="s">
        <v>173</v>
      </c>
      <c r="D27" s="1140" t="s">
        <v>523</v>
      </c>
      <c r="E27" s="1138"/>
      <c r="F27" s="1124"/>
      <c r="G27" s="1119"/>
      <c r="H27" s="1136"/>
      <c r="I27" s="1136"/>
      <c r="J27" s="1136"/>
      <c r="K27" s="542"/>
      <c r="L27" s="542"/>
      <c r="M27" s="542"/>
      <c r="N27" s="542"/>
      <c r="O27" s="542"/>
      <c r="P27" s="542"/>
      <c r="Q27" s="542"/>
      <c r="R27" s="542"/>
      <c r="S27" s="542"/>
      <c r="T27" s="851"/>
      <c r="U27" s="899"/>
      <c r="V27" s="586"/>
      <c r="W27" s="586"/>
      <c r="X27" s="586"/>
    </row>
    <row r="28" spans="1:24" ht="15" outlineLevel="1" thickBot="1">
      <c r="A28" s="849" t="s">
        <v>57</v>
      </c>
      <c r="B28" s="544">
        <v>16000000</v>
      </c>
      <c r="C28" s="1130">
        <v>2000000</v>
      </c>
      <c r="D28" s="544">
        <v>7000000</v>
      </c>
      <c r="E28" s="1126"/>
      <c r="F28" s="544">
        <f>SUM(B28:E28)</f>
        <v>25000000</v>
      </c>
      <c r="G28" s="544">
        <f>+((INGRESOS!C61+INGRESOS!C58)*9.66/1000)+3000000</f>
        <v>29505410.802360002</v>
      </c>
      <c r="H28" s="1139">
        <v>15000000</v>
      </c>
      <c r="I28" s="544"/>
      <c r="J28" s="1125"/>
      <c r="K28" s="543">
        <f>SUM(F28:J28)</f>
        <v>69505410.80236</v>
      </c>
      <c r="L28" s="543">
        <v>29501988</v>
      </c>
      <c r="M28" s="543">
        <v>21914847</v>
      </c>
      <c r="N28" s="543">
        <v>16000000</v>
      </c>
      <c r="O28" s="543">
        <v>15500000</v>
      </c>
      <c r="P28" s="543">
        <v>46500000</v>
      </c>
      <c r="Q28" s="543">
        <v>87096252</v>
      </c>
      <c r="R28" s="543">
        <v>75200000</v>
      </c>
      <c r="S28" s="543">
        <f>+K28</f>
        <v>69505410.80236</v>
      </c>
      <c r="T28" s="850">
        <f>+(S28-R28)/R28</f>
        <v>-0.07572592018138301</v>
      </c>
      <c r="U28" s="899"/>
      <c r="V28" s="586"/>
      <c r="W28" s="586"/>
      <c r="X28" s="586"/>
    </row>
    <row r="29" spans="1:24" ht="15" outlineLevel="1">
      <c r="A29" s="848"/>
      <c r="B29" s="542" t="s">
        <v>174</v>
      </c>
      <c r="C29" s="1119" t="s">
        <v>394</v>
      </c>
      <c r="D29" s="542" t="s">
        <v>395</v>
      </c>
      <c r="E29" s="1119"/>
      <c r="F29" s="1124"/>
      <c r="G29" s="1136"/>
      <c r="H29" s="1136"/>
      <c r="I29" s="1136"/>
      <c r="J29" s="1136"/>
      <c r="K29" s="542"/>
      <c r="L29" s="542"/>
      <c r="M29" s="542"/>
      <c r="N29" s="542"/>
      <c r="O29" s="542"/>
      <c r="P29" s="542"/>
      <c r="Q29" s="542"/>
      <c r="R29" s="542"/>
      <c r="S29" s="542"/>
      <c r="T29" s="851"/>
      <c r="U29" s="899"/>
      <c r="V29" s="586"/>
      <c r="W29" s="586"/>
      <c r="X29" s="586"/>
    </row>
    <row r="30" spans="1:24" ht="15" outlineLevel="1" thickBot="1">
      <c r="A30" s="849" t="s">
        <v>58</v>
      </c>
      <c r="B30" s="544">
        <f>12000000*D4</f>
        <v>12380400</v>
      </c>
      <c r="C30" s="1141">
        <f>4000000*D4</f>
        <v>4126800.0000000005</v>
      </c>
      <c r="D30" s="544">
        <f>(400000*5)*D4</f>
        <v>2063400.0000000002</v>
      </c>
      <c r="E30" s="1130"/>
      <c r="F30" s="544">
        <f>SUM(B30:E30)</f>
        <v>18570600</v>
      </c>
      <c r="G30" s="1125"/>
      <c r="H30" s="1125"/>
      <c r="I30" s="1125"/>
      <c r="J30" s="1125"/>
      <c r="K30" s="543">
        <f>SUM(F30:J30)</f>
        <v>18570600</v>
      </c>
      <c r="L30" s="543">
        <v>6804508</v>
      </c>
      <c r="M30" s="543">
        <v>10425298</v>
      </c>
      <c r="N30" s="543">
        <v>10400000</v>
      </c>
      <c r="O30" s="543">
        <v>13400000</v>
      </c>
      <c r="P30" s="543">
        <v>14073000</v>
      </c>
      <c r="Q30" s="543">
        <v>18000000</v>
      </c>
      <c r="R30" s="543">
        <v>18655200</v>
      </c>
      <c r="S30" s="543">
        <f>+K30</f>
        <v>18570600</v>
      </c>
      <c r="T30" s="850">
        <f>+(S30-R30)/R30</f>
        <v>-0.0045349285989965266</v>
      </c>
      <c r="U30" s="899"/>
      <c r="V30" s="586"/>
      <c r="W30" s="586"/>
      <c r="X30" s="586"/>
    </row>
    <row r="31" spans="1:24" ht="15" outlineLevel="1">
      <c r="A31" s="848"/>
      <c r="B31" s="542" t="s">
        <v>175</v>
      </c>
      <c r="C31" s="1138"/>
      <c r="D31" s="1136"/>
      <c r="E31" s="1138"/>
      <c r="F31" s="1124"/>
      <c r="G31" s="542"/>
      <c r="H31" s="1136"/>
      <c r="I31" s="1136"/>
      <c r="J31" s="1136"/>
      <c r="K31" s="542"/>
      <c r="L31" s="542"/>
      <c r="M31" s="542"/>
      <c r="N31" s="542"/>
      <c r="O31" s="542"/>
      <c r="P31" s="542"/>
      <c r="Q31" s="542"/>
      <c r="R31" s="542"/>
      <c r="S31" s="542"/>
      <c r="T31" s="851"/>
      <c r="U31" s="899"/>
      <c r="V31" s="586"/>
      <c r="W31" s="586"/>
      <c r="X31" s="586"/>
    </row>
    <row r="32" spans="1:24" ht="15" outlineLevel="1" thickBot="1">
      <c r="A32" s="849" t="s">
        <v>59</v>
      </c>
      <c r="B32" s="544">
        <v>55000000</v>
      </c>
      <c r="C32" s="1126"/>
      <c r="D32" s="1125"/>
      <c r="E32" s="1126"/>
      <c r="F32" s="544">
        <f>SUM(B32:E32)</f>
        <v>55000000</v>
      </c>
      <c r="G32" s="544">
        <f>+'[10]justificacion formulada'!$D$27</f>
        <v>25000000</v>
      </c>
      <c r="H32" s="544"/>
      <c r="I32" s="544"/>
      <c r="J32" s="544"/>
      <c r="K32" s="543">
        <f>SUM(F32:J32)</f>
        <v>80000000</v>
      </c>
      <c r="L32" s="543">
        <v>40939829</v>
      </c>
      <c r="M32" s="543">
        <v>37962215</v>
      </c>
      <c r="N32" s="543">
        <v>42000000</v>
      </c>
      <c r="O32" s="543">
        <v>93000000</v>
      </c>
      <c r="P32" s="543">
        <v>110000000</v>
      </c>
      <c r="Q32" s="543">
        <v>95000000</v>
      </c>
      <c r="R32" s="543">
        <v>93057937</v>
      </c>
      <c r="S32" s="543">
        <f>+K32</f>
        <v>80000000</v>
      </c>
      <c r="T32" s="850">
        <f>+(S32-R32)/R32</f>
        <v>-0.1403205080722991</v>
      </c>
      <c r="U32" s="899"/>
      <c r="V32" s="586"/>
      <c r="W32" s="586"/>
      <c r="X32" s="586"/>
    </row>
    <row r="33" spans="1:24" ht="15" outlineLevel="1">
      <c r="A33" s="848"/>
      <c r="B33" s="542" t="s">
        <v>465</v>
      </c>
      <c r="C33" s="1118" t="s">
        <v>466</v>
      </c>
      <c r="D33" s="542" t="s">
        <v>467</v>
      </c>
      <c r="E33" s="1138"/>
      <c r="F33" s="1124"/>
      <c r="G33" s="1136"/>
      <c r="H33" s="1136"/>
      <c r="I33" s="1136"/>
      <c r="J33" s="1136"/>
      <c r="K33" s="542"/>
      <c r="L33" s="542"/>
      <c r="M33" s="542"/>
      <c r="N33" s="542"/>
      <c r="O33" s="542"/>
      <c r="P33" s="542"/>
      <c r="Q33" s="542"/>
      <c r="R33" s="542"/>
      <c r="S33" s="542"/>
      <c r="T33" s="851"/>
      <c r="U33" s="899"/>
      <c r="V33" s="586"/>
      <c r="W33" s="586"/>
      <c r="X33" s="586"/>
    </row>
    <row r="34" spans="1:24" ht="15" outlineLevel="1" thickBot="1">
      <c r="A34" s="849" t="s">
        <v>60</v>
      </c>
      <c r="B34" s="544">
        <v>30000000</v>
      </c>
      <c r="C34" s="1142">
        <f>1000000*D4</f>
        <v>1031700.0000000001</v>
      </c>
      <c r="D34" s="544">
        <f>150000*D4</f>
        <v>154755</v>
      </c>
      <c r="E34" s="1126"/>
      <c r="F34" s="544">
        <f>SUM(B34:E34)</f>
        <v>31186455</v>
      </c>
      <c r="G34" s="1125"/>
      <c r="H34" s="1125"/>
      <c r="I34" s="1125"/>
      <c r="J34" s="1125"/>
      <c r="K34" s="543">
        <f>SUM(F34:J34)</f>
        <v>31186455</v>
      </c>
      <c r="L34" s="545">
        <v>11545969</v>
      </c>
      <c r="M34" s="545">
        <v>11776888</v>
      </c>
      <c r="N34" s="545">
        <v>15000000</v>
      </c>
      <c r="O34" s="543">
        <v>19000000</v>
      </c>
      <c r="P34" s="543">
        <v>19000000</v>
      </c>
      <c r="Q34" s="543">
        <v>32700000</v>
      </c>
      <c r="R34" s="543">
        <v>34335000</v>
      </c>
      <c r="S34" s="543">
        <f>+K34</f>
        <v>31186455</v>
      </c>
      <c r="T34" s="850">
        <f>+(S34-R34)/R34</f>
        <v>-0.09170074268239406</v>
      </c>
      <c r="U34" s="899"/>
      <c r="V34" s="586"/>
      <c r="W34" s="586"/>
      <c r="X34" s="586"/>
    </row>
    <row r="35" spans="1:24" ht="15.75" thickBot="1">
      <c r="A35" s="1388" t="s">
        <v>176</v>
      </c>
      <c r="B35" s="1389"/>
      <c r="C35" s="1389"/>
      <c r="D35" s="1389"/>
      <c r="E35" s="1389"/>
      <c r="F35" s="546">
        <f>SUM(F8:F34)</f>
        <v>369017569.9694</v>
      </c>
      <c r="G35" s="844">
        <f>+G32+G28+G26+G24+G22+G20+G18+G16+G12+G15+G14</f>
        <v>313320679.59526</v>
      </c>
      <c r="H35" s="844">
        <f>SUM(H8,H10,H12,H14,H16,H18,H20,H22,H24,H26,H28,H30,H32,H34)+H15</f>
        <v>127932457.0921</v>
      </c>
      <c r="I35" s="844">
        <f>SUM(I8,I10,I12,I14,I16,I18,I20,I22,I24,I26,I28,I30,I32,I34)+I15</f>
        <v>33423155.711400002</v>
      </c>
      <c r="J35" s="844">
        <f>SUM(J8,J10,J12,J14,J16,J18,J20,J22,J24,J26,J28,J30,J32,J34)+J15</f>
        <v>41542215.919300005</v>
      </c>
      <c r="K35" s="844">
        <f>+K34+K32+K30+K28+K26+K24+K22+K20+K18+K16+K14+K12+K10+K8</f>
        <v>897236078.28746</v>
      </c>
      <c r="L35" s="547">
        <f>SUM(L8:L34)</f>
        <v>283163969</v>
      </c>
      <c r="M35" s="547">
        <f>SUM(M8:M34)</f>
        <v>284221363</v>
      </c>
      <c r="N35" s="547">
        <f>SUM(N7:N34)</f>
        <v>373889913</v>
      </c>
      <c r="O35" s="573">
        <f>SUM(O7:O34)</f>
        <v>651341547</v>
      </c>
      <c r="P35" s="572">
        <f>SUM(P8:P34)</f>
        <v>852485682.55918</v>
      </c>
      <c r="Q35" s="861">
        <f>SUM(Q8:Q34)</f>
        <v>833607559</v>
      </c>
      <c r="R35" s="861">
        <f>SUM(R8:R34)</f>
        <v>838314535.5252</v>
      </c>
      <c r="S35" s="861">
        <f>SUM(S8:S34)</f>
        <v>897236078.2874601</v>
      </c>
      <c r="T35" s="862">
        <f>+(S35-R35)/R35</f>
        <v>0.07028572244109547</v>
      </c>
      <c r="U35" s="899"/>
      <c r="V35" s="586"/>
      <c r="W35" s="586"/>
      <c r="X35" s="586"/>
    </row>
    <row r="36" spans="1:24" ht="16.5">
      <c r="A36" s="926"/>
      <c r="B36" s="926"/>
      <c r="C36" s="927"/>
      <c r="D36" s="858"/>
      <c r="E36" s="858"/>
      <c r="F36" s="858"/>
      <c r="G36" s="858"/>
      <c r="H36" s="858"/>
      <c r="I36" s="858"/>
      <c r="J36" s="858"/>
      <c r="K36" s="926"/>
      <c r="L36" s="926"/>
      <c r="M36" s="926"/>
      <c r="N36" s="926"/>
      <c r="O36" s="926"/>
      <c r="P36" s="926"/>
      <c r="Q36" s="926"/>
      <c r="R36" s="926"/>
      <c r="S36" s="926"/>
      <c r="T36" s="926"/>
      <c r="U36" s="928"/>
      <c r="V36" s="586"/>
      <c r="W36" s="586"/>
      <c r="X36" s="586"/>
    </row>
    <row r="37" spans="1:24" ht="16.5">
      <c r="A37" s="926"/>
      <c r="B37" s="926"/>
      <c r="C37" s="927"/>
      <c r="D37" s="858"/>
      <c r="E37" s="858"/>
      <c r="F37" s="858"/>
      <c r="G37" s="858"/>
      <c r="H37" s="858"/>
      <c r="I37" s="858"/>
      <c r="J37" s="858"/>
      <c r="K37" s="926"/>
      <c r="L37" s="926">
        <v>5739998.8</v>
      </c>
      <c r="M37" s="926">
        <v>58683202.145828575</v>
      </c>
      <c r="N37" s="926">
        <v>38228571</v>
      </c>
      <c r="O37" s="926">
        <v>38054963</v>
      </c>
      <c r="P37" s="926">
        <v>38520000</v>
      </c>
      <c r="Q37" s="926"/>
      <c r="R37" s="926"/>
      <c r="S37" s="926"/>
      <c r="T37" s="926"/>
      <c r="U37" s="928"/>
      <c r="V37" s="586"/>
      <c r="W37" s="586"/>
      <c r="X37" s="586"/>
    </row>
    <row r="38" spans="1:24" ht="16.5">
      <c r="A38" s="856"/>
      <c r="B38" s="856"/>
      <c r="C38" s="857"/>
      <c r="D38" s="858"/>
      <c r="E38" s="858"/>
      <c r="F38" s="859"/>
      <c r="G38" s="858"/>
      <c r="H38" s="858"/>
      <c r="I38" s="858"/>
      <c r="J38" s="858"/>
      <c r="K38" s="856"/>
      <c r="L38" s="856"/>
      <c r="M38" s="856"/>
      <c r="N38" s="856"/>
      <c r="O38" s="856"/>
      <c r="P38" s="856"/>
      <c r="Q38" s="856"/>
      <c r="R38" s="856"/>
      <c r="S38" s="856"/>
      <c r="T38" s="856"/>
      <c r="U38" s="586"/>
      <c r="V38" s="586"/>
      <c r="W38" s="586"/>
      <c r="X38" s="586"/>
    </row>
    <row r="39" spans="1:24" ht="16.5">
      <c r="A39" s="856"/>
      <c r="B39" s="856"/>
      <c r="C39" s="857"/>
      <c r="D39" s="858"/>
      <c r="E39" s="858"/>
      <c r="F39" s="859"/>
      <c r="G39" s="859"/>
      <c r="H39" s="859"/>
      <c r="I39" s="859"/>
      <c r="J39" s="859"/>
      <c r="K39" s="856"/>
      <c r="L39" s="856"/>
      <c r="M39" s="856"/>
      <c r="N39" s="856"/>
      <c r="O39" s="856"/>
      <c r="P39" s="856"/>
      <c r="Q39" s="856"/>
      <c r="R39" s="856"/>
      <c r="S39" s="856"/>
      <c r="T39" s="856"/>
      <c r="U39" s="586"/>
      <c r="V39" s="586"/>
      <c r="W39" s="586"/>
      <c r="X39" s="586"/>
    </row>
    <row r="40" spans="1:24" ht="16.5">
      <c r="A40" s="856"/>
      <c r="B40" s="856"/>
      <c r="C40" s="857"/>
      <c r="D40" s="858"/>
      <c r="E40" s="858"/>
      <c r="F40" s="859"/>
      <c r="G40" s="859"/>
      <c r="H40" s="859"/>
      <c r="I40" s="859"/>
      <c r="J40" s="859"/>
      <c r="K40" s="856"/>
      <c r="L40" s="856"/>
      <c r="M40" s="856"/>
      <c r="N40" s="856"/>
      <c r="O40" s="856"/>
      <c r="P40" s="856"/>
      <c r="Q40" s="856"/>
      <c r="R40" s="856"/>
      <c r="S40" s="856"/>
      <c r="T40" s="856"/>
      <c r="U40" s="586"/>
      <c r="V40" s="586"/>
      <c r="W40" s="586"/>
      <c r="X40" s="586"/>
    </row>
    <row r="41" spans="1:24" ht="16.5">
      <c r="A41" s="856"/>
      <c r="B41" s="856"/>
      <c r="C41" s="859"/>
      <c r="D41" s="858"/>
      <c r="E41" s="858"/>
      <c r="F41" s="858"/>
      <c r="G41" s="858"/>
      <c r="H41" s="858"/>
      <c r="I41" s="858"/>
      <c r="J41" s="858"/>
      <c r="K41" s="856"/>
      <c r="L41" s="856"/>
      <c r="M41" s="856"/>
      <c r="N41" s="856"/>
      <c r="O41" s="856"/>
      <c r="P41" s="856"/>
      <c r="Q41" s="856"/>
      <c r="R41" s="856"/>
      <c r="S41" s="856"/>
      <c r="T41" s="856"/>
      <c r="U41" s="586"/>
      <c r="V41" s="586"/>
      <c r="W41" s="586"/>
      <c r="X41" s="586"/>
    </row>
    <row r="42" spans="1:20" ht="16.5">
      <c r="A42" s="856"/>
      <c r="B42" s="856"/>
      <c r="C42" s="859"/>
      <c r="D42" s="860"/>
      <c r="E42" s="859"/>
      <c r="F42" s="859"/>
      <c r="G42" s="856"/>
      <c r="H42" s="856"/>
      <c r="I42" s="856"/>
      <c r="J42" s="856"/>
      <c r="K42" s="856"/>
      <c r="L42" s="856"/>
      <c r="M42" s="856"/>
      <c r="N42" s="856"/>
      <c r="O42" s="856"/>
      <c r="P42" s="856"/>
      <c r="Q42" s="856"/>
      <c r="R42" s="856"/>
      <c r="S42" s="856"/>
      <c r="T42" s="856"/>
    </row>
    <row r="43" spans="1:20" ht="16.5">
      <c r="A43" s="856"/>
      <c r="B43" s="856"/>
      <c r="C43" s="385"/>
      <c r="D43" s="385"/>
      <c r="E43" s="385"/>
      <c r="F43" s="385"/>
      <c r="G43" s="380"/>
      <c r="H43" s="380"/>
      <c r="I43" s="380"/>
      <c r="J43" s="380"/>
      <c r="K43" s="380"/>
      <c r="L43" s="378"/>
      <c r="M43" s="378"/>
      <c r="N43" s="378"/>
      <c r="O43" s="378"/>
      <c r="P43" s="378"/>
      <c r="Q43" s="378"/>
      <c r="R43" s="378"/>
      <c r="S43" s="378"/>
      <c r="T43" s="378"/>
    </row>
    <row r="44" spans="1:20" ht="16.5">
      <c r="A44" s="380"/>
      <c r="B44" s="380"/>
      <c r="C44" s="385"/>
      <c r="D44" s="385"/>
      <c r="E44" s="385"/>
      <c r="F44" s="385"/>
      <c r="G44" s="380"/>
      <c r="H44" s="380"/>
      <c r="I44" s="380"/>
      <c r="J44" s="380"/>
      <c r="K44" s="380"/>
      <c r="L44" s="378"/>
      <c r="M44" s="378"/>
      <c r="N44" s="378"/>
      <c r="O44" s="378"/>
      <c r="P44" s="378"/>
      <c r="Q44" s="378"/>
      <c r="R44" s="378"/>
      <c r="S44" s="378"/>
      <c r="T44" s="378"/>
    </row>
    <row r="45" spans="1:20" ht="16.5">
      <c r="A45" s="380"/>
      <c r="B45" s="380"/>
      <c r="C45" s="380"/>
      <c r="D45" s="380"/>
      <c r="E45" s="380"/>
      <c r="F45" s="380"/>
      <c r="G45" s="380"/>
      <c r="H45" s="380"/>
      <c r="I45" s="380"/>
      <c r="J45" s="380"/>
      <c r="K45" s="380"/>
      <c r="L45" s="378"/>
      <c r="M45" s="378"/>
      <c r="N45" s="378"/>
      <c r="O45" s="378"/>
      <c r="P45" s="378"/>
      <c r="Q45" s="378"/>
      <c r="R45" s="378"/>
      <c r="S45" s="378"/>
      <c r="T45" s="378"/>
    </row>
    <row r="46" spans="1:20" ht="16.5">
      <c r="A46" s="380"/>
      <c r="B46" s="380"/>
      <c r="C46" s="380"/>
      <c r="D46" s="380"/>
      <c r="E46" s="380"/>
      <c r="F46" s="380"/>
      <c r="G46" s="380"/>
      <c r="H46" s="380"/>
      <c r="I46" s="380"/>
      <c r="J46" s="380"/>
      <c r="K46" s="380"/>
      <c r="L46" s="378"/>
      <c r="M46" s="378"/>
      <c r="N46" s="378"/>
      <c r="O46" s="378"/>
      <c r="P46" s="378"/>
      <c r="Q46" s="378"/>
      <c r="R46" s="378"/>
      <c r="S46" s="378"/>
      <c r="T46" s="378"/>
    </row>
    <row r="47" spans="1:20" ht="16.5">
      <c r="A47" s="380"/>
      <c r="B47" s="380"/>
      <c r="C47" s="380"/>
      <c r="D47" s="380"/>
      <c r="E47" s="380"/>
      <c r="F47" s="380"/>
      <c r="G47" s="380"/>
      <c r="H47" s="380"/>
      <c r="I47" s="380"/>
      <c r="J47" s="380"/>
      <c r="K47" s="380"/>
      <c r="L47" s="378"/>
      <c r="M47" s="378"/>
      <c r="N47" s="378"/>
      <c r="O47" s="378"/>
      <c r="P47" s="378"/>
      <c r="Q47" s="378"/>
      <c r="R47" s="378"/>
      <c r="S47" s="378"/>
      <c r="T47" s="378"/>
    </row>
    <row r="48" spans="1:11" ht="12.75">
      <c r="A48" s="375"/>
      <c r="B48" s="375"/>
      <c r="C48" s="375"/>
      <c r="D48" s="375"/>
      <c r="E48" s="375"/>
      <c r="F48" s="375"/>
      <c r="G48" s="375"/>
      <c r="H48" s="375"/>
      <c r="I48" s="375"/>
      <c r="J48" s="375"/>
      <c r="K48" s="375"/>
    </row>
    <row r="49" spans="1:11" ht="12.75">
      <c r="A49" s="375"/>
      <c r="B49" s="375"/>
      <c r="C49" s="375"/>
      <c r="D49" s="375"/>
      <c r="E49" s="375"/>
      <c r="F49" s="375"/>
      <c r="G49" s="375"/>
      <c r="H49" s="375"/>
      <c r="I49" s="375"/>
      <c r="J49" s="375"/>
      <c r="K49" s="375"/>
    </row>
    <row r="50" spans="1:11" ht="12.75">
      <c r="A50" s="375"/>
      <c r="B50" s="375"/>
      <c r="C50" s="375"/>
      <c r="D50" s="375"/>
      <c r="E50" s="375"/>
      <c r="F50" s="375"/>
      <c r="G50" s="375"/>
      <c r="H50" s="375"/>
      <c r="I50" s="375"/>
      <c r="J50" s="375"/>
      <c r="K50" s="375"/>
    </row>
    <row r="51" spans="1:11" ht="12.75">
      <c r="A51" s="375"/>
      <c r="B51" s="375"/>
      <c r="C51" s="375"/>
      <c r="D51" s="375"/>
      <c r="E51" s="375"/>
      <c r="F51" s="375"/>
      <c r="G51" s="375"/>
      <c r="H51" s="375"/>
      <c r="I51" s="375"/>
      <c r="J51" s="375"/>
      <c r="K51" s="375"/>
    </row>
    <row r="52" spans="1:11" ht="12.75">
      <c r="A52" s="375"/>
      <c r="B52" s="375"/>
      <c r="C52" s="375"/>
      <c r="D52" s="375"/>
      <c r="E52" s="375"/>
      <c r="F52" s="375"/>
      <c r="G52" s="375"/>
      <c r="H52" s="375"/>
      <c r="I52" s="375"/>
      <c r="J52" s="375"/>
      <c r="K52" s="375"/>
    </row>
    <row r="53" spans="1:11" ht="12.75">
      <c r="A53" s="375"/>
      <c r="B53" s="375"/>
      <c r="C53" s="375"/>
      <c r="D53" s="375"/>
      <c r="E53" s="375"/>
      <c r="F53" s="375"/>
      <c r="G53" s="375"/>
      <c r="H53" s="375"/>
      <c r="I53" s="375"/>
      <c r="J53" s="375"/>
      <c r="K53" s="375"/>
    </row>
    <row r="54" spans="1:11" ht="12.75">
      <c r="A54" s="375"/>
      <c r="B54" s="375"/>
      <c r="C54" s="375"/>
      <c r="D54" s="375"/>
      <c r="E54" s="375"/>
      <c r="F54" s="375"/>
      <c r="G54" s="375"/>
      <c r="H54" s="375"/>
      <c r="I54" s="375"/>
      <c r="J54" s="375"/>
      <c r="K54" s="375"/>
    </row>
    <row r="55" spans="1:11" ht="12.75">
      <c r="A55" s="375"/>
      <c r="B55" s="375"/>
      <c r="C55" s="375"/>
      <c r="D55" s="375"/>
      <c r="E55" s="375"/>
      <c r="F55" s="375"/>
      <c r="G55" s="375"/>
      <c r="H55" s="375"/>
      <c r="I55" s="375"/>
      <c r="J55" s="375"/>
      <c r="K55" s="375"/>
    </row>
    <row r="56" spans="1:11" ht="12.75">
      <c r="A56" s="375"/>
      <c r="B56" s="375"/>
      <c r="C56" s="375"/>
      <c r="D56" s="375"/>
      <c r="E56" s="375"/>
      <c r="F56" s="375"/>
      <c r="G56" s="375"/>
      <c r="H56" s="375"/>
      <c r="I56" s="375"/>
      <c r="J56" s="375"/>
      <c r="K56" s="375"/>
    </row>
    <row r="57" spans="1:11" ht="12.75">
      <c r="A57" s="375"/>
      <c r="B57" s="375"/>
      <c r="C57" s="375"/>
      <c r="D57" s="375"/>
      <c r="E57" s="375"/>
      <c r="F57" s="375"/>
      <c r="G57" s="375"/>
      <c r="H57" s="375"/>
      <c r="I57" s="375"/>
      <c r="J57" s="375"/>
      <c r="K57" s="375"/>
    </row>
    <row r="58" spans="1:11" ht="12.75">
      <c r="A58" s="375"/>
      <c r="B58" s="375"/>
      <c r="C58" s="375"/>
      <c r="D58" s="375"/>
      <c r="E58" s="375"/>
      <c r="F58" s="375"/>
      <c r="G58" s="375"/>
      <c r="H58" s="375"/>
      <c r="I58" s="375"/>
      <c r="J58" s="375"/>
      <c r="K58" s="375"/>
    </row>
    <row r="59" spans="1:11" ht="12.75">
      <c r="A59" s="375"/>
      <c r="B59" s="375"/>
      <c r="C59" s="375"/>
      <c r="D59" s="375"/>
      <c r="E59" s="375"/>
      <c r="F59" s="375"/>
      <c r="G59" s="375"/>
      <c r="H59" s="375"/>
      <c r="I59" s="375"/>
      <c r="J59" s="375"/>
      <c r="K59" s="375"/>
    </row>
    <row r="60" spans="1:11" ht="12.75">
      <c r="A60" s="375"/>
      <c r="B60" s="375"/>
      <c r="C60" s="375"/>
      <c r="D60" s="375"/>
      <c r="E60" s="375"/>
      <c r="F60" s="375"/>
      <c r="G60" s="375"/>
      <c r="H60" s="375"/>
      <c r="I60" s="375"/>
      <c r="J60" s="375"/>
      <c r="K60" s="375"/>
    </row>
    <row r="61" spans="1:11" ht="12.75">
      <c r="A61" s="375"/>
      <c r="B61" s="375"/>
      <c r="C61" s="375"/>
      <c r="D61" s="375"/>
      <c r="E61" s="375"/>
      <c r="F61" s="375"/>
      <c r="G61" s="375"/>
      <c r="H61" s="375"/>
      <c r="I61" s="375"/>
      <c r="J61" s="375"/>
      <c r="K61" s="375"/>
    </row>
    <row r="62" spans="1:11" ht="12.75">
      <c r="A62" s="375"/>
      <c r="B62" s="375"/>
      <c r="C62" s="375"/>
      <c r="D62" s="375"/>
      <c r="E62" s="375"/>
      <c r="F62" s="375"/>
      <c r="G62" s="375"/>
      <c r="H62" s="375"/>
      <c r="I62" s="375"/>
      <c r="J62" s="375"/>
      <c r="K62" s="375"/>
    </row>
    <row r="63" spans="1:11" ht="12.75">
      <c r="A63" s="375"/>
      <c r="B63" s="375"/>
      <c r="C63" s="375"/>
      <c r="D63" s="375"/>
      <c r="E63" s="375"/>
      <c r="F63" s="375"/>
      <c r="G63" s="375"/>
      <c r="H63" s="375"/>
      <c r="I63" s="375"/>
      <c r="J63" s="375"/>
      <c r="K63" s="375"/>
    </row>
    <row r="64" spans="1:11" ht="12.75">
      <c r="A64" s="375"/>
      <c r="B64" s="375"/>
      <c r="C64" s="375"/>
      <c r="D64" s="375"/>
      <c r="E64" s="375"/>
      <c r="F64" s="375"/>
      <c r="G64" s="375"/>
      <c r="H64" s="375"/>
      <c r="I64" s="375"/>
      <c r="J64" s="375"/>
      <c r="K64" s="375"/>
    </row>
    <row r="65" spans="1:11" ht="12.75">
      <c r="A65" s="375"/>
      <c r="B65" s="375"/>
      <c r="C65" s="375"/>
      <c r="D65" s="375"/>
      <c r="E65" s="375"/>
      <c r="F65" s="375"/>
      <c r="G65" s="375"/>
      <c r="H65" s="375"/>
      <c r="I65" s="375"/>
      <c r="J65" s="375"/>
      <c r="K65" s="375"/>
    </row>
    <row r="66" spans="1:11" ht="12.75">
      <c r="A66" s="375"/>
      <c r="B66" s="375"/>
      <c r="C66" s="375"/>
      <c r="D66" s="375"/>
      <c r="E66" s="375"/>
      <c r="F66" s="375"/>
      <c r="G66" s="375"/>
      <c r="H66" s="375"/>
      <c r="I66" s="375"/>
      <c r="J66" s="375"/>
      <c r="K66" s="375"/>
    </row>
    <row r="67" spans="1:11" ht="12.75">
      <c r="A67" s="375"/>
      <c r="B67" s="375"/>
      <c r="C67" s="375"/>
      <c r="D67" s="375"/>
      <c r="E67" s="375"/>
      <c r="F67" s="375"/>
      <c r="G67" s="375"/>
      <c r="H67" s="375"/>
      <c r="I67" s="375"/>
      <c r="J67" s="375"/>
      <c r="K67" s="375"/>
    </row>
    <row r="68" spans="1:11" ht="12.75">
      <c r="A68" s="375"/>
      <c r="B68" s="375"/>
      <c r="C68" s="375"/>
      <c r="D68" s="375"/>
      <c r="E68" s="375"/>
      <c r="F68" s="375"/>
      <c r="G68" s="375"/>
      <c r="H68" s="375"/>
      <c r="I68" s="375"/>
      <c r="J68" s="375"/>
      <c r="K68" s="375"/>
    </row>
    <row r="69" spans="1:11" ht="12.75">
      <c r="A69" s="375"/>
      <c r="B69" s="375"/>
      <c r="C69" s="375"/>
      <c r="D69" s="375"/>
      <c r="E69" s="375"/>
      <c r="F69" s="375"/>
      <c r="G69" s="375"/>
      <c r="H69" s="375"/>
      <c r="I69" s="375"/>
      <c r="J69" s="375"/>
      <c r="K69" s="375"/>
    </row>
    <row r="70" spans="1:11" ht="12.75">
      <c r="A70" s="375"/>
      <c r="B70" s="375"/>
      <c r="C70" s="375"/>
      <c r="D70" s="375"/>
      <c r="E70" s="375"/>
      <c r="F70" s="375"/>
      <c r="G70" s="375"/>
      <c r="H70" s="375"/>
      <c r="I70" s="375"/>
      <c r="J70" s="375"/>
      <c r="K70" s="375"/>
    </row>
    <row r="71" spans="1:11" ht="12.75">
      <c r="A71" s="375"/>
      <c r="B71" s="375"/>
      <c r="C71" s="375"/>
      <c r="D71" s="375"/>
      <c r="E71" s="375"/>
      <c r="F71" s="375"/>
      <c r="G71" s="375"/>
      <c r="H71" s="375"/>
      <c r="I71" s="375"/>
      <c r="J71" s="375"/>
      <c r="K71" s="375"/>
    </row>
    <row r="72" spans="1:11" ht="12.75">
      <c r="A72" s="375"/>
      <c r="B72" s="375"/>
      <c r="C72" s="375"/>
      <c r="D72" s="375"/>
      <c r="E72" s="375"/>
      <c r="F72" s="375"/>
      <c r="G72" s="375"/>
      <c r="H72" s="375"/>
      <c r="I72" s="375"/>
      <c r="J72" s="375"/>
      <c r="K72" s="375"/>
    </row>
    <row r="73" spans="1:11" ht="12.75">
      <c r="A73" s="375"/>
      <c r="B73" s="375"/>
      <c r="C73" s="375"/>
      <c r="D73" s="375"/>
      <c r="E73" s="375"/>
      <c r="F73" s="375"/>
      <c r="G73" s="375"/>
      <c r="H73" s="375"/>
      <c r="I73" s="375"/>
      <c r="J73" s="375"/>
      <c r="K73" s="375"/>
    </row>
    <row r="74" spans="1:11" ht="12.75">
      <c r="A74" s="375"/>
      <c r="B74" s="375"/>
      <c r="C74" s="375"/>
      <c r="D74" s="375"/>
      <c r="E74" s="375"/>
      <c r="F74" s="375"/>
      <c r="G74" s="375"/>
      <c r="H74" s="375"/>
      <c r="I74" s="375"/>
      <c r="J74" s="375"/>
      <c r="K74" s="375"/>
    </row>
    <row r="75" spans="1:11" ht="12.75">
      <c r="A75" s="375"/>
      <c r="B75" s="375"/>
      <c r="C75" s="375"/>
      <c r="D75" s="375"/>
      <c r="E75" s="375"/>
      <c r="F75" s="375"/>
      <c r="G75" s="375"/>
      <c r="H75" s="375"/>
      <c r="I75" s="375"/>
      <c r="J75" s="375"/>
      <c r="K75" s="375"/>
    </row>
    <row r="76" spans="1:11" ht="12.75">
      <c r="A76" s="375"/>
      <c r="B76" s="375"/>
      <c r="C76" s="375"/>
      <c r="D76" s="375"/>
      <c r="E76" s="375"/>
      <c r="F76" s="375"/>
      <c r="G76" s="375"/>
      <c r="H76" s="375"/>
      <c r="I76" s="375"/>
      <c r="J76" s="375"/>
      <c r="K76" s="375"/>
    </row>
    <row r="77" spans="1:11" ht="12.75">
      <c r="A77" s="375"/>
      <c r="B77" s="375"/>
      <c r="C77" s="375"/>
      <c r="D77" s="375"/>
      <c r="E77" s="375"/>
      <c r="F77" s="375"/>
      <c r="G77" s="375"/>
      <c r="H77" s="375"/>
      <c r="I77" s="375"/>
      <c r="J77" s="375"/>
      <c r="K77" s="375"/>
    </row>
    <row r="78" spans="1:11" ht="12.75">
      <c r="A78" s="375"/>
      <c r="B78" s="375"/>
      <c r="C78" s="375"/>
      <c r="D78" s="375"/>
      <c r="E78" s="375"/>
      <c r="F78" s="375"/>
      <c r="G78" s="375"/>
      <c r="H78" s="375"/>
      <c r="I78" s="375"/>
      <c r="J78" s="375"/>
      <c r="K78" s="375"/>
    </row>
    <row r="79" spans="1:11" ht="12.75">
      <c r="A79" s="375"/>
      <c r="B79" s="375"/>
      <c r="C79" s="375"/>
      <c r="D79" s="375"/>
      <c r="E79" s="375"/>
      <c r="F79" s="375"/>
      <c r="G79" s="375"/>
      <c r="H79" s="375"/>
      <c r="I79" s="375"/>
      <c r="J79" s="375"/>
      <c r="K79" s="375"/>
    </row>
    <row r="80" spans="1:11" ht="12.75">
      <c r="A80" s="375"/>
      <c r="B80" s="375"/>
      <c r="C80" s="375"/>
      <c r="D80" s="375"/>
      <c r="E80" s="375"/>
      <c r="F80" s="375"/>
      <c r="G80" s="375"/>
      <c r="H80" s="375"/>
      <c r="I80" s="375"/>
      <c r="J80" s="375"/>
      <c r="K80" s="375"/>
    </row>
    <row r="81" spans="1:11" ht="12.75">
      <c r="A81" s="375"/>
      <c r="B81" s="375"/>
      <c r="C81" s="375"/>
      <c r="D81" s="375"/>
      <c r="E81" s="375"/>
      <c r="F81" s="375"/>
      <c r="G81" s="375"/>
      <c r="H81" s="375"/>
      <c r="I81" s="375"/>
      <c r="J81" s="375"/>
      <c r="K81" s="375"/>
    </row>
    <row r="82" spans="1:11" ht="12.75">
      <c r="A82" s="375"/>
      <c r="B82" s="375"/>
      <c r="C82" s="375"/>
      <c r="D82" s="375"/>
      <c r="E82" s="375"/>
      <c r="F82" s="375"/>
      <c r="G82" s="375"/>
      <c r="H82" s="375"/>
      <c r="I82" s="375"/>
      <c r="J82" s="375"/>
      <c r="K82" s="375"/>
    </row>
    <row r="83" spans="1:11" ht="12.75">
      <c r="A83" s="375"/>
      <c r="B83" s="375"/>
      <c r="C83" s="375"/>
      <c r="D83" s="375"/>
      <c r="E83" s="375"/>
      <c r="F83" s="375"/>
      <c r="G83" s="375"/>
      <c r="H83" s="375"/>
      <c r="I83" s="375"/>
      <c r="J83" s="375"/>
      <c r="K83" s="375"/>
    </row>
    <row r="84" spans="1:11" ht="12.75">
      <c r="A84" s="375"/>
      <c r="B84" s="375"/>
      <c r="C84" s="375"/>
      <c r="D84" s="375"/>
      <c r="E84" s="375"/>
      <c r="F84" s="375"/>
      <c r="G84" s="375"/>
      <c r="H84" s="375"/>
      <c r="I84" s="375"/>
      <c r="J84" s="375"/>
      <c r="K84" s="375"/>
    </row>
    <row r="85" spans="1:11" ht="12.75">
      <c r="A85" s="375"/>
      <c r="B85" s="375"/>
      <c r="C85" s="375"/>
      <c r="D85" s="375"/>
      <c r="E85" s="375"/>
      <c r="F85" s="375"/>
      <c r="G85" s="375"/>
      <c r="H85" s="375"/>
      <c r="I85" s="375"/>
      <c r="J85" s="375"/>
      <c r="K85" s="375"/>
    </row>
    <row r="86" spans="1:11" ht="12.75">
      <c r="A86" s="375"/>
      <c r="B86" s="375"/>
      <c r="C86" s="375"/>
      <c r="D86" s="375"/>
      <c r="E86" s="375"/>
      <c r="F86" s="375"/>
      <c r="G86" s="375"/>
      <c r="H86" s="375"/>
      <c r="I86" s="375"/>
      <c r="J86" s="375"/>
      <c r="K86" s="375"/>
    </row>
    <row r="87" spans="1:11" ht="12.75">
      <c r="A87" s="375"/>
      <c r="B87" s="375"/>
      <c r="C87" s="375"/>
      <c r="D87" s="375"/>
      <c r="E87" s="375"/>
      <c r="F87" s="375"/>
      <c r="G87" s="375"/>
      <c r="H87" s="375"/>
      <c r="I87" s="375"/>
      <c r="J87" s="375"/>
      <c r="K87" s="375"/>
    </row>
    <row r="88" spans="1:11" ht="12.75">
      <c r="A88" s="375"/>
      <c r="B88" s="375"/>
      <c r="C88" s="375"/>
      <c r="D88" s="375"/>
      <c r="E88" s="375"/>
      <c r="F88" s="375"/>
      <c r="G88" s="375"/>
      <c r="H88" s="375"/>
      <c r="I88" s="375"/>
      <c r="J88" s="375"/>
      <c r="K88" s="375"/>
    </row>
    <row r="89" spans="1:11" ht="12.75">
      <c r="A89" s="375"/>
      <c r="B89" s="375"/>
      <c r="C89" s="375"/>
      <c r="D89" s="375"/>
      <c r="E89" s="375"/>
      <c r="F89" s="375"/>
      <c r="G89" s="375"/>
      <c r="H89" s="375"/>
      <c r="I89" s="375"/>
      <c r="J89" s="375"/>
      <c r="K89" s="375"/>
    </row>
    <row r="90" spans="1:11" ht="12.75">
      <c r="A90" s="375"/>
      <c r="B90" s="375"/>
      <c r="C90" s="375"/>
      <c r="D90" s="375"/>
      <c r="E90" s="375"/>
      <c r="F90" s="375"/>
      <c r="G90" s="375"/>
      <c r="H90" s="375"/>
      <c r="I90" s="375"/>
      <c r="J90" s="375"/>
      <c r="K90" s="375"/>
    </row>
    <row r="91" spans="1:11" ht="12.75">
      <c r="A91" s="375"/>
      <c r="B91" s="375"/>
      <c r="C91" s="375"/>
      <c r="D91" s="375"/>
      <c r="E91" s="375"/>
      <c r="F91" s="375"/>
      <c r="G91" s="375"/>
      <c r="H91" s="375"/>
      <c r="I91" s="375"/>
      <c r="J91" s="375"/>
      <c r="K91" s="375"/>
    </row>
    <row r="92" spans="1:11" ht="12.75">
      <c r="A92" s="375"/>
      <c r="B92" s="375"/>
      <c r="C92" s="375"/>
      <c r="D92" s="375"/>
      <c r="E92" s="375"/>
      <c r="F92" s="375"/>
      <c r="G92" s="375"/>
      <c r="H92" s="375"/>
      <c r="I92" s="375"/>
      <c r="J92" s="375"/>
      <c r="K92" s="375"/>
    </row>
    <row r="93" spans="1:11" ht="12.75">
      <c r="A93" s="375"/>
      <c r="B93" s="375"/>
      <c r="C93" s="375"/>
      <c r="D93" s="375"/>
      <c r="E93" s="375"/>
      <c r="F93" s="375"/>
      <c r="G93" s="375"/>
      <c r="H93" s="375"/>
      <c r="I93" s="375"/>
      <c r="J93" s="375"/>
      <c r="K93" s="375"/>
    </row>
    <row r="94" spans="1:11" ht="12.75">
      <c r="A94" s="375"/>
      <c r="B94" s="375"/>
      <c r="C94" s="375"/>
      <c r="D94" s="375"/>
      <c r="E94" s="375"/>
      <c r="F94" s="375"/>
      <c r="G94" s="375"/>
      <c r="H94" s="375"/>
      <c r="I94" s="375"/>
      <c r="J94" s="375"/>
      <c r="K94" s="375"/>
    </row>
    <row r="95" spans="1:11" ht="12.75">
      <c r="A95" s="375"/>
      <c r="B95" s="375"/>
      <c r="C95" s="375"/>
      <c r="D95" s="375"/>
      <c r="E95" s="375"/>
      <c r="F95" s="375"/>
      <c r="G95" s="375"/>
      <c r="H95" s="375"/>
      <c r="I95" s="375"/>
      <c r="J95" s="375"/>
      <c r="K95" s="375"/>
    </row>
    <row r="96" spans="1:11" ht="12.75">
      <c r="A96" s="375"/>
      <c r="B96" s="375"/>
      <c r="C96" s="375"/>
      <c r="D96" s="375"/>
      <c r="E96" s="375"/>
      <c r="F96" s="375"/>
      <c r="G96" s="375"/>
      <c r="H96" s="375"/>
      <c r="I96" s="375"/>
      <c r="J96" s="375"/>
      <c r="K96" s="375"/>
    </row>
    <row r="97" spans="1:11" ht="12.75">
      <c r="A97" s="375"/>
      <c r="B97" s="375"/>
      <c r="C97" s="375"/>
      <c r="D97" s="375"/>
      <c r="E97" s="375"/>
      <c r="F97" s="375"/>
      <c r="G97" s="375"/>
      <c r="H97" s="375"/>
      <c r="I97" s="375"/>
      <c r="J97" s="375"/>
      <c r="K97" s="375"/>
    </row>
    <row r="98" spans="1:11" ht="12.75">
      <c r="A98" s="375"/>
      <c r="B98" s="375"/>
      <c r="C98" s="375"/>
      <c r="D98" s="375"/>
      <c r="E98" s="375"/>
      <c r="F98" s="375"/>
      <c r="G98" s="375"/>
      <c r="H98" s="375"/>
      <c r="I98" s="375"/>
      <c r="J98" s="375"/>
      <c r="K98" s="375"/>
    </row>
    <row r="99" spans="1:11" ht="12.75">
      <c r="A99" s="375"/>
      <c r="B99" s="375"/>
      <c r="C99" s="375"/>
      <c r="D99" s="375"/>
      <c r="E99" s="375"/>
      <c r="F99" s="375"/>
      <c r="G99" s="375"/>
      <c r="H99" s="375"/>
      <c r="I99" s="375"/>
      <c r="J99" s="375"/>
      <c r="K99" s="375"/>
    </row>
    <row r="100" spans="1:11" ht="12.75">
      <c r="A100" s="375"/>
      <c r="B100" s="375"/>
      <c r="C100" s="375"/>
      <c r="D100" s="375"/>
      <c r="E100" s="375"/>
      <c r="F100" s="375"/>
      <c r="G100" s="375"/>
      <c r="H100" s="375"/>
      <c r="I100" s="375"/>
      <c r="J100" s="375"/>
      <c r="K100" s="375"/>
    </row>
    <row r="101" spans="1:11" ht="12.75">
      <c r="A101" s="375"/>
      <c r="B101" s="375"/>
      <c r="C101" s="375"/>
      <c r="D101" s="375"/>
      <c r="E101" s="375"/>
      <c r="F101" s="375"/>
      <c r="G101" s="375"/>
      <c r="H101" s="375"/>
      <c r="I101" s="375"/>
      <c r="J101" s="375"/>
      <c r="K101" s="375"/>
    </row>
    <row r="102" spans="1:11" ht="12.75">
      <c r="A102" s="375"/>
      <c r="B102" s="375"/>
      <c r="C102" s="375"/>
      <c r="D102" s="375"/>
      <c r="E102" s="375"/>
      <c r="F102" s="375"/>
      <c r="G102" s="375"/>
      <c r="H102" s="375"/>
      <c r="I102" s="375"/>
      <c r="J102" s="375"/>
      <c r="K102" s="375"/>
    </row>
    <row r="103" spans="1:11" ht="12.75">
      <c r="A103" s="375"/>
      <c r="B103" s="375"/>
      <c r="C103" s="375"/>
      <c r="D103" s="375"/>
      <c r="E103" s="375"/>
      <c r="F103" s="375"/>
      <c r="G103" s="375"/>
      <c r="H103" s="375"/>
      <c r="I103" s="375"/>
      <c r="J103" s="375"/>
      <c r="K103" s="375"/>
    </row>
    <row r="104" spans="1:11" ht="12.75">
      <c r="A104" s="375"/>
      <c r="B104" s="375"/>
      <c r="C104" s="375"/>
      <c r="D104" s="375"/>
      <c r="E104" s="375"/>
      <c r="F104" s="375"/>
      <c r="G104" s="375"/>
      <c r="H104" s="375"/>
      <c r="I104" s="375"/>
      <c r="J104" s="375"/>
      <c r="K104" s="375"/>
    </row>
    <row r="105" spans="1:11" ht="12.75">
      <c r="A105" s="375"/>
      <c r="B105" s="375"/>
      <c r="C105" s="375"/>
      <c r="D105" s="375"/>
      <c r="E105" s="375"/>
      <c r="F105" s="375"/>
      <c r="G105" s="375"/>
      <c r="H105" s="375"/>
      <c r="I105" s="375"/>
      <c r="J105" s="375"/>
      <c r="K105" s="375"/>
    </row>
    <row r="106" spans="1:11" ht="12.75">
      <c r="A106" s="375"/>
      <c r="B106" s="375"/>
      <c r="C106" s="375"/>
      <c r="D106" s="375"/>
      <c r="E106" s="375"/>
      <c r="F106" s="375"/>
      <c r="G106" s="375"/>
      <c r="H106" s="375"/>
      <c r="I106" s="375"/>
      <c r="J106" s="375"/>
      <c r="K106" s="375"/>
    </row>
    <row r="107" spans="1:11" ht="12.75">
      <c r="A107" s="375"/>
      <c r="B107" s="375"/>
      <c r="C107" s="375"/>
      <c r="D107" s="375"/>
      <c r="E107" s="375"/>
      <c r="F107" s="375"/>
      <c r="G107" s="375"/>
      <c r="H107" s="375"/>
      <c r="I107" s="375"/>
      <c r="J107" s="375"/>
      <c r="K107" s="375"/>
    </row>
    <row r="108" spans="1:11" ht="12.75">
      <c r="A108" s="375"/>
      <c r="B108" s="375"/>
      <c r="C108" s="375"/>
      <c r="D108" s="375"/>
      <c r="E108" s="375"/>
      <c r="F108" s="375"/>
      <c r="G108" s="375"/>
      <c r="H108" s="375"/>
      <c r="I108" s="375"/>
      <c r="J108" s="375"/>
      <c r="K108" s="375"/>
    </row>
    <row r="109" spans="1:11" ht="12.75">
      <c r="A109" s="375"/>
      <c r="B109" s="375"/>
      <c r="C109" s="375"/>
      <c r="D109" s="375"/>
      <c r="E109" s="375"/>
      <c r="F109" s="375"/>
      <c r="G109" s="375"/>
      <c r="H109" s="375"/>
      <c r="I109" s="375"/>
      <c r="J109" s="375"/>
      <c r="K109" s="375"/>
    </row>
    <row r="110" spans="1:11" ht="12.75">
      <c r="A110" s="375"/>
      <c r="B110" s="375"/>
      <c r="C110" s="375"/>
      <c r="D110" s="375"/>
      <c r="E110" s="375"/>
      <c r="F110" s="375"/>
      <c r="G110" s="375"/>
      <c r="H110" s="375"/>
      <c r="I110" s="375"/>
      <c r="J110" s="375"/>
      <c r="K110" s="375"/>
    </row>
    <row r="111" spans="1:11" ht="12.75">
      <c r="A111" s="375"/>
      <c r="B111" s="375"/>
      <c r="C111" s="375"/>
      <c r="D111" s="375"/>
      <c r="E111" s="375"/>
      <c r="F111" s="375"/>
      <c r="G111" s="375"/>
      <c r="H111" s="375"/>
      <c r="I111" s="375"/>
      <c r="J111" s="375"/>
      <c r="K111" s="375"/>
    </row>
    <row r="112" spans="1:11" ht="12.75">
      <c r="A112" s="375"/>
      <c r="B112" s="375"/>
      <c r="C112" s="375"/>
      <c r="D112" s="375"/>
      <c r="E112" s="375"/>
      <c r="F112" s="375"/>
      <c r="G112" s="375"/>
      <c r="H112" s="375"/>
      <c r="I112" s="375"/>
      <c r="J112" s="375"/>
      <c r="K112" s="375"/>
    </row>
    <row r="113" spans="1:11" ht="12.75">
      <c r="A113" s="375"/>
      <c r="B113" s="375"/>
      <c r="C113" s="375"/>
      <c r="D113" s="375"/>
      <c r="E113" s="375"/>
      <c r="F113" s="375"/>
      <c r="G113" s="375"/>
      <c r="H113" s="375"/>
      <c r="I113" s="375"/>
      <c r="J113" s="375"/>
      <c r="K113" s="375"/>
    </row>
    <row r="114" spans="1:11" ht="12.75">
      <c r="A114" s="375"/>
      <c r="B114" s="375"/>
      <c r="C114" s="375"/>
      <c r="D114" s="375"/>
      <c r="E114" s="375"/>
      <c r="F114" s="375"/>
      <c r="G114" s="375"/>
      <c r="H114" s="375"/>
      <c r="I114" s="375"/>
      <c r="J114" s="375"/>
      <c r="K114" s="375"/>
    </row>
    <row r="115" spans="1:11" ht="12.75">
      <c r="A115" s="375"/>
      <c r="B115" s="375"/>
      <c r="C115" s="375"/>
      <c r="D115" s="375"/>
      <c r="E115" s="375"/>
      <c r="F115" s="375"/>
      <c r="G115" s="375"/>
      <c r="H115" s="375"/>
      <c r="I115" s="375"/>
      <c r="J115" s="375"/>
      <c r="K115" s="375"/>
    </row>
    <row r="116" spans="1:11" ht="12.75">
      <c r="A116" s="375"/>
      <c r="B116" s="375"/>
      <c r="C116" s="375"/>
      <c r="D116" s="375"/>
      <c r="E116" s="375"/>
      <c r="F116" s="375"/>
      <c r="G116" s="375"/>
      <c r="H116" s="375"/>
      <c r="I116" s="375"/>
      <c r="J116" s="375"/>
      <c r="K116" s="375"/>
    </row>
    <row r="117" spans="1:11" ht="12.75">
      <c r="A117" s="375"/>
      <c r="B117" s="375"/>
      <c r="C117" s="375"/>
      <c r="D117" s="375"/>
      <c r="E117" s="375"/>
      <c r="F117" s="375"/>
      <c r="G117" s="375"/>
      <c r="H117" s="375"/>
      <c r="I117" s="375"/>
      <c r="J117" s="375"/>
      <c r="K117" s="375"/>
    </row>
    <row r="118" spans="1:11" ht="12.75">
      <c r="A118" s="375"/>
      <c r="B118" s="375"/>
      <c r="C118" s="375"/>
      <c r="D118" s="375"/>
      <c r="E118" s="375"/>
      <c r="F118" s="375"/>
      <c r="G118" s="375"/>
      <c r="H118" s="375"/>
      <c r="I118" s="375"/>
      <c r="J118" s="375"/>
      <c r="K118" s="375"/>
    </row>
    <row r="119" spans="1:11" ht="12.75">
      <c r="A119" s="375"/>
      <c r="B119" s="375"/>
      <c r="C119" s="375"/>
      <c r="D119" s="375"/>
      <c r="E119" s="375"/>
      <c r="F119" s="375"/>
      <c r="G119" s="375"/>
      <c r="H119" s="375"/>
      <c r="I119" s="375"/>
      <c r="J119" s="375"/>
      <c r="K119" s="375"/>
    </row>
    <row r="120" spans="1:11" ht="12.75">
      <c r="A120" s="375"/>
      <c r="B120" s="375"/>
      <c r="C120" s="375"/>
      <c r="D120" s="375"/>
      <c r="E120" s="375"/>
      <c r="F120" s="375"/>
      <c r="G120" s="375"/>
      <c r="H120" s="375"/>
      <c r="I120" s="375"/>
      <c r="J120" s="375"/>
      <c r="K120" s="375"/>
    </row>
    <row r="121" spans="1:11" ht="12.75">
      <c r="A121" s="375"/>
      <c r="B121" s="375"/>
      <c r="C121" s="375"/>
      <c r="D121" s="375"/>
      <c r="E121" s="375"/>
      <c r="F121" s="375"/>
      <c r="G121" s="375"/>
      <c r="H121" s="375"/>
      <c r="I121" s="375"/>
      <c r="J121" s="375"/>
      <c r="K121" s="375"/>
    </row>
    <row r="122" spans="1:11" ht="12.75">
      <c r="A122" s="375"/>
      <c r="B122" s="375"/>
      <c r="C122" s="375"/>
      <c r="D122" s="375"/>
      <c r="E122" s="375"/>
      <c r="F122" s="375"/>
      <c r="G122" s="375"/>
      <c r="H122" s="375"/>
      <c r="I122" s="375"/>
      <c r="J122" s="375"/>
      <c r="K122" s="375"/>
    </row>
    <row r="123" spans="1:11" ht="12.75">
      <c r="A123" s="375"/>
      <c r="B123" s="375"/>
      <c r="C123" s="375"/>
      <c r="D123" s="375"/>
      <c r="E123" s="375"/>
      <c r="F123" s="375"/>
      <c r="G123" s="375"/>
      <c r="H123" s="375"/>
      <c r="I123" s="375"/>
      <c r="J123" s="375"/>
      <c r="K123" s="375"/>
    </row>
    <row r="124" spans="1:11" ht="12.75">
      <c r="A124" s="375"/>
      <c r="B124" s="375"/>
      <c r="C124" s="375"/>
      <c r="D124" s="375"/>
      <c r="E124" s="375"/>
      <c r="F124" s="375"/>
      <c r="G124" s="375"/>
      <c r="H124" s="375"/>
      <c r="I124" s="375"/>
      <c r="J124" s="375"/>
      <c r="K124" s="375"/>
    </row>
    <row r="125" spans="1:11" ht="12.75">
      <c r="A125" s="375"/>
      <c r="B125" s="375"/>
      <c r="C125" s="375"/>
      <c r="D125" s="375"/>
      <c r="E125" s="375"/>
      <c r="F125" s="375"/>
      <c r="G125" s="375"/>
      <c r="H125" s="375"/>
      <c r="I125" s="375"/>
      <c r="J125" s="375"/>
      <c r="K125" s="375"/>
    </row>
    <row r="126" spans="1:11" ht="12.75">
      <c r="A126" s="375"/>
      <c r="B126" s="375"/>
      <c r="C126" s="375"/>
      <c r="D126" s="375"/>
      <c r="E126" s="375"/>
      <c r="F126" s="375"/>
      <c r="G126" s="375"/>
      <c r="H126" s="375"/>
      <c r="I126" s="375"/>
      <c r="J126" s="375"/>
      <c r="K126" s="375"/>
    </row>
    <row r="127" spans="1:11" ht="12.75">
      <c r="A127" s="375"/>
      <c r="B127" s="375"/>
      <c r="C127" s="375"/>
      <c r="D127" s="375"/>
      <c r="E127" s="375"/>
      <c r="F127" s="375"/>
      <c r="G127" s="375"/>
      <c r="H127" s="375"/>
      <c r="I127" s="375"/>
      <c r="J127" s="375"/>
      <c r="K127" s="375"/>
    </row>
    <row r="128" spans="1:11" ht="12.75">
      <c r="A128" s="375"/>
      <c r="B128" s="375"/>
      <c r="C128" s="375"/>
      <c r="D128" s="375"/>
      <c r="E128" s="375"/>
      <c r="F128" s="375"/>
      <c r="G128" s="375"/>
      <c r="H128" s="375"/>
      <c r="I128" s="375"/>
      <c r="J128" s="375"/>
      <c r="K128" s="375"/>
    </row>
    <row r="129" spans="1:11" ht="12.75">
      <c r="A129" s="375"/>
      <c r="B129" s="375"/>
      <c r="C129" s="375"/>
      <c r="D129" s="375"/>
      <c r="E129" s="375"/>
      <c r="F129" s="375"/>
      <c r="G129" s="375"/>
      <c r="H129" s="375"/>
      <c r="I129" s="375"/>
      <c r="J129" s="375"/>
      <c r="K129" s="375"/>
    </row>
    <row r="130" spans="1:11" ht="12.75">
      <c r="A130" s="375"/>
      <c r="B130" s="375"/>
      <c r="C130" s="375"/>
      <c r="D130" s="375"/>
      <c r="E130" s="375"/>
      <c r="F130" s="375"/>
      <c r="G130" s="375"/>
      <c r="H130" s="375"/>
      <c r="I130" s="375"/>
      <c r="J130" s="375"/>
      <c r="K130" s="375"/>
    </row>
    <row r="131" spans="1:11" ht="12.75">
      <c r="A131" s="375"/>
      <c r="B131" s="375"/>
      <c r="C131" s="375"/>
      <c r="D131" s="375"/>
      <c r="E131" s="375"/>
      <c r="F131" s="375"/>
      <c r="G131" s="375"/>
      <c r="H131" s="375"/>
      <c r="I131" s="375"/>
      <c r="J131" s="375"/>
      <c r="K131" s="375"/>
    </row>
    <row r="132" spans="1:11" ht="12.75">
      <c r="A132" s="375"/>
      <c r="B132" s="375"/>
      <c r="C132" s="375"/>
      <c r="D132" s="375"/>
      <c r="E132" s="375"/>
      <c r="F132" s="375"/>
      <c r="G132" s="375"/>
      <c r="H132" s="375"/>
      <c r="I132" s="375"/>
      <c r="J132" s="375"/>
      <c r="K132" s="375"/>
    </row>
    <row r="133" spans="1:11" ht="12.75">
      <c r="A133" s="375"/>
      <c r="B133" s="375"/>
      <c r="C133" s="375"/>
      <c r="D133" s="375"/>
      <c r="E133" s="375"/>
      <c r="F133" s="375"/>
      <c r="G133" s="375"/>
      <c r="H133" s="375"/>
      <c r="I133" s="375"/>
      <c r="J133" s="375"/>
      <c r="K133" s="375"/>
    </row>
    <row r="134" spans="1:11" ht="12.75">
      <c r="A134" s="375"/>
      <c r="B134" s="375"/>
      <c r="C134" s="375"/>
      <c r="D134" s="375"/>
      <c r="E134" s="375"/>
      <c r="F134" s="375"/>
      <c r="G134" s="375"/>
      <c r="H134" s="375"/>
      <c r="I134" s="375"/>
      <c r="J134" s="375"/>
      <c r="K134" s="375"/>
    </row>
    <row r="135" spans="1:11" ht="12.75">
      <c r="A135" s="375"/>
      <c r="B135" s="375"/>
      <c r="C135" s="375"/>
      <c r="D135" s="375"/>
      <c r="E135" s="375"/>
      <c r="F135" s="375"/>
      <c r="G135" s="375"/>
      <c r="H135" s="375"/>
      <c r="I135" s="375"/>
      <c r="J135" s="375"/>
      <c r="K135" s="375"/>
    </row>
    <row r="136" spans="1:11" ht="12.75">
      <c r="A136" s="375"/>
      <c r="B136" s="375"/>
      <c r="C136" s="375"/>
      <c r="D136" s="375"/>
      <c r="E136" s="375"/>
      <c r="F136" s="375"/>
      <c r="G136" s="375"/>
      <c r="H136" s="375"/>
      <c r="I136" s="375"/>
      <c r="J136" s="375"/>
      <c r="K136" s="375"/>
    </row>
    <row r="137" spans="1:11" ht="12.75">
      <c r="A137" s="375"/>
      <c r="B137" s="375"/>
      <c r="C137" s="375"/>
      <c r="D137" s="375"/>
      <c r="E137" s="375"/>
      <c r="F137" s="375"/>
      <c r="G137" s="375"/>
      <c r="H137" s="375"/>
      <c r="I137" s="375"/>
      <c r="J137" s="375"/>
      <c r="K137" s="375"/>
    </row>
    <row r="138" spans="1:11" ht="12.75">
      <c r="A138" s="375"/>
      <c r="B138" s="375"/>
      <c r="C138" s="375"/>
      <c r="D138" s="375"/>
      <c r="E138" s="375"/>
      <c r="F138" s="375"/>
      <c r="G138" s="375"/>
      <c r="H138" s="375"/>
      <c r="I138" s="375"/>
      <c r="J138" s="375"/>
      <c r="K138" s="375"/>
    </row>
    <row r="139" spans="1:11" ht="12.75">
      <c r="A139" s="375"/>
      <c r="B139" s="375"/>
      <c r="C139" s="375"/>
      <c r="D139" s="375"/>
      <c r="E139" s="375"/>
      <c r="F139" s="375"/>
      <c r="G139" s="375"/>
      <c r="H139" s="375"/>
      <c r="I139" s="375"/>
      <c r="J139" s="375"/>
      <c r="K139" s="375"/>
    </row>
    <row r="140" spans="1:11" ht="12.75">
      <c r="A140" s="375"/>
      <c r="B140" s="375"/>
      <c r="C140" s="375"/>
      <c r="D140" s="375"/>
      <c r="E140" s="375"/>
      <c r="F140" s="375"/>
      <c r="G140" s="375"/>
      <c r="H140" s="375"/>
      <c r="I140" s="375"/>
      <c r="J140" s="375"/>
      <c r="K140" s="375"/>
    </row>
    <row r="141" spans="1:11" ht="12.75">
      <c r="A141" s="375"/>
      <c r="B141" s="375"/>
      <c r="C141" s="375"/>
      <c r="D141" s="375"/>
      <c r="E141" s="375"/>
      <c r="F141" s="375"/>
      <c r="G141" s="375"/>
      <c r="H141" s="375"/>
      <c r="I141" s="375"/>
      <c r="J141" s="375"/>
      <c r="K141" s="375"/>
    </row>
    <row r="142" spans="1:11" ht="12.75">
      <c r="A142" s="375"/>
      <c r="B142" s="375"/>
      <c r="C142" s="375"/>
      <c r="D142" s="375"/>
      <c r="E142" s="375"/>
      <c r="F142" s="375"/>
      <c r="G142" s="375"/>
      <c r="H142" s="375"/>
      <c r="I142" s="375"/>
      <c r="J142" s="375"/>
      <c r="K142" s="375"/>
    </row>
    <row r="143" spans="1:11" ht="12.75">
      <c r="A143" s="375"/>
      <c r="B143" s="375"/>
      <c r="C143" s="375"/>
      <c r="D143" s="375"/>
      <c r="E143" s="375"/>
      <c r="F143" s="375"/>
      <c r="G143" s="375"/>
      <c r="H143" s="375"/>
      <c r="I143" s="375"/>
      <c r="J143" s="375"/>
      <c r="K143" s="375"/>
    </row>
    <row r="144" spans="1:11" ht="12.75">
      <c r="A144" s="375"/>
      <c r="B144" s="375"/>
      <c r="C144" s="375"/>
      <c r="D144" s="375"/>
      <c r="E144" s="375"/>
      <c r="F144" s="375"/>
      <c r="G144" s="375"/>
      <c r="H144" s="375"/>
      <c r="I144" s="375"/>
      <c r="J144" s="375"/>
      <c r="K144" s="375"/>
    </row>
    <row r="145" spans="1:11" ht="12.75">
      <c r="A145" s="375"/>
      <c r="B145" s="375"/>
      <c r="C145" s="375"/>
      <c r="D145" s="375"/>
      <c r="E145" s="375"/>
      <c r="F145" s="375"/>
      <c r="G145" s="375"/>
      <c r="H145" s="375"/>
      <c r="I145" s="375"/>
      <c r="J145" s="375"/>
      <c r="K145" s="375"/>
    </row>
    <row r="146" spans="1:11" ht="12.75">
      <c r="A146" s="375"/>
      <c r="B146" s="375"/>
      <c r="C146" s="375"/>
      <c r="D146" s="375"/>
      <c r="E146" s="375"/>
      <c r="F146" s="375"/>
      <c r="G146" s="375"/>
      <c r="H146" s="375"/>
      <c r="I146" s="375"/>
      <c r="J146" s="375"/>
      <c r="K146" s="375"/>
    </row>
    <row r="147" spans="1:11" ht="12.75">
      <c r="A147" s="375"/>
      <c r="B147" s="375"/>
      <c r="C147" s="375"/>
      <c r="D147" s="375"/>
      <c r="E147" s="375"/>
      <c r="F147" s="375"/>
      <c r="G147" s="375"/>
      <c r="H147" s="375"/>
      <c r="I147" s="375"/>
      <c r="J147" s="375"/>
      <c r="K147" s="375"/>
    </row>
    <row r="148" spans="1:11" ht="12.75">
      <c r="A148" s="375"/>
      <c r="B148" s="375"/>
      <c r="C148" s="375"/>
      <c r="D148" s="375"/>
      <c r="E148" s="375"/>
      <c r="F148" s="375"/>
      <c r="G148" s="375"/>
      <c r="H148" s="375"/>
      <c r="I148" s="375"/>
      <c r="J148" s="375"/>
      <c r="K148" s="375"/>
    </row>
    <row r="149" spans="1:11" ht="12.75">
      <c r="A149" s="375"/>
      <c r="B149" s="375"/>
      <c r="C149" s="375"/>
      <c r="D149" s="375"/>
      <c r="E149" s="375"/>
      <c r="F149" s="375"/>
      <c r="G149" s="375"/>
      <c r="H149" s="375"/>
      <c r="I149" s="375"/>
      <c r="J149" s="375"/>
      <c r="K149" s="375"/>
    </row>
    <row r="150" spans="1:11" ht="12.75">
      <c r="A150" s="375"/>
      <c r="B150" s="375"/>
      <c r="C150" s="375"/>
      <c r="D150" s="375"/>
      <c r="E150" s="375"/>
      <c r="F150" s="375"/>
      <c r="G150" s="375"/>
      <c r="H150" s="375"/>
      <c r="I150" s="375"/>
      <c r="J150" s="375"/>
      <c r="K150" s="375"/>
    </row>
    <row r="151" spans="1:11" ht="12.75">
      <c r="A151" s="375"/>
      <c r="B151" s="375"/>
      <c r="C151" s="375"/>
      <c r="D151" s="375"/>
      <c r="E151" s="375"/>
      <c r="F151" s="375"/>
      <c r="G151" s="375"/>
      <c r="H151" s="375"/>
      <c r="I151" s="375"/>
      <c r="J151" s="375"/>
      <c r="K151" s="375"/>
    </row>
    <row r="152" spans="1:11" ht="12.75">
      <c r="A152" s="375"/>
      <c r="B152" s="375"/>
      <c r="C152" s="375"/>
      <c r="D152" s="375"/>
      <c r="E152" s="375"/>
      <c r="F152" s="375"/>
      <c r="G152" s="375"/>
      <c r="H152" s="375"/>
      <c r="I152" s="375"/>
      <c r="J152" s="375"/>
      <c r="K152" s="375"/>
    </row>
    <row r="153" spans="1:11" ht="12.75">
      <c r="A153" s="375"/>
      <c r="B153" s="375"/>
      <c r="C153" s="375"/>
      <c r="D153" s="375"/>
      <c r="E153" s="375"/>
      <c r="F153" s="375"/>
      <c r="G153" s="375"/>
      <c r="H153" s="375"/>
      <c r="I153" s="375"/>
      <c r="J153" s="375"/>
      <c r="K153" s="375"/>
    </row>
    <row r="154" spans="1:11" ht="12.75">
      <c r="A154" s="375"/>
      <c r="B154" s="375"/>
      <c r="C154" s="375"/>
      <c r="D154" s="375"/>
      <c r="E154" s="375"/>
      <c r="F154" s="375"/>
      <c r="G154" s="375"/>
      <c r="H154" s="375"/>
      <c r="I154" s="375"/>
      <c r="J154" s="375"/>
      <c r="K154" s="375"/>
    </row>
    <row r="155" spans="1:11" ht="12.75">
      <c r="A155" s="375"/>
      <c r="B155" s="375"/>
      <c r="C155" s="375"/>
      <c r="D155" s="375"/>
      <c r="E155" s="375"/>
      <c r="F155" s="375"/>
      <c r="G155" s="375"/>
      <c r="H155" s="375"/>
      <c r="I155" s="375"/>
      <c r="J155" s="375"/>
      <c r="K155" s="375"/>
    </row>
    <row r="156" spans="1:11" ht="12.75">
      <c r="A156" s="375"/>
      <c r="B156" s="375"/>
      <c r="C156" s="375"/>
      <c r="D156" s="375"/>
      <c r="E156" s="375"/>
      <c r="F156" s="375"/>
      <c r="G156" s="375"/>
      <c r="H156" s="375"/>
      <c r="I156" s="375"/>
      <c r="J156" s="375"/>
      <c r="K156" s="375"/>
    </row>
    <row r="157" spans="1:11" ht="12.75">
      <c r="A157" s="375"/>
      <c r="B157" s="375"/>
      <c r="C157" s="375"/>
      <c r="D157" s="375"/>
      <c r="E157" s="375"/>
      <c r="F157" s="375"/>
      <c r="G157" s="375"/>
      <c r="H157" s="375"/>
      <c r="I157" s="375"/>
      <c r="J157" s="375"/>
      <c r="K157" s="375"/>
    </row>
    <row r="158" spans="1:11" ht="12.75">
      <c r="A158" s="375"/>
      <c r="B158" s="375"/>
      <c r="C158" s="375"/>
      <c r="D158" s="375"/>
      <c r="E158" s="375"/>
      <c r="F158" s="375"/>
      <c r="G158" s="375"/>
      <c r="H158" s="375"/>
      <c r="I158" s="375"/>
      <c r="J158" s="375"/>
      <c r="K158" s="375"/>
    </row>
    <row r="159" spans="1:11" ht="12.75">
      <c r="A159" s="375"/>
      <c r="B159" s="375"/>
      <c r="C159" s="375"/>
      <c r="D159" s="375"/>
      <c r="E159" s="375"/>
      <c r="F159" s="375"/>
      <c r="G159" s="375"/>
      <c r="H159" s="375"/>
      <c r="I159" s="375"/>
      <c r="J159" s="375"/>
      <c r="K159" s="375"/>
    </row>
    <row r="160" spans="1:11" ht="12.75">
      <c r="A160" s="375"/>
      <c r="B160" s="375"/>
      <c r="C160" s="375"/>
      <c r="D160" s="375"/>
      <c r="E160" s="375"/>
      <c r="F160" s="375"/>
      <c r="G160" s="375"/>
      <c r="H160" s="375"/>
      <c r="I160" s="375"/>
      <c r="J160" s="375"/>
      <c r="K160" s="375"/>
    </row>
    <row r="161" spans="1:11" ht="12.75">
      <c r="A161" s="375"/>
      <c r="B161" s="375"/>
      <c r="C161" s="375"/>
      <c r="D161" s="375"/>
      <c r="E161" s="375"/>
      <c r="F161" s="375"/>
      <c r="G161" s="375"/>
      <c r="H161" s="375"/>
      <c r="I161" s="375"/>
      <c r="J161" s="375"/>
      <c r="K161" s="375"/>
    </row>
    <row r="162" spans="1:11" ht="12.75">
      <c r="A162" s="375"/>
      <c r="B162" s="375"/>
      <c r="C162" s="375"/>
      <c r="D162" s="375"/>
      <c r="E162" s="375"/>
      <c r="F162" s="375"/>
      <c r="G162" s="375"/>
      <c r="H162" s="375"/>
      <c r="I162" s="375"/>
      <c r="J162" s="375"/>
      <c r="K162" s="375"/>
    </row>
    <row r="163" spans="1:11" ht="12.75">
      <c r="A163" s="375"/>
      <c r="B163" s="375"/>
      <c r="C163" s="375"/>
      <c r="D163" s="375"/>
      <c r="E163" s="375"/>
      <c r="F163" s="375"/>
      <c r="G163" s="375"/>
      <c r="H163" s="375"/>
      <c r="I163" s="375"/>
      <c r="J163" s="375"/>
      <c r="K163" s="375"/>
    </row>
    <row r="164" spans="1:11" ht="12.75">
      <c r="A164" s="375"/>
      <c r="B164" s="375"/>
      <c r="C164" s="375"/>
      <c r="D164" s="375"/>
      <c r="E164" s="375"/>
      <c r="F164" s="375"/>
      <c r="G164" s="375"/>
      <c r="H164" s="375"/>
      <c r="I164" s="375"/>
      <c r="J164" s="375"/>
      <c r="K164" s="375"/>
    </row>
    <row r="165" spans="1:11" ht="12.75">
      <c r="A165" s="375"/>
      <c r="B165" s="375"/>
      <c r="C165" s="375"/>
      <c r="D165" s="375"/>
      <c r="E165" s="375"/>
      <c r="F165" s="375"/>
      <c r="G165" s="375"/>
      <c r="H165" s="375"/>
      <c r="I165" s="375"/>
      <c r="J165" s="375"/>
      <c r="K165" s="375"/>
    </row>
    <row r="166" spans="1:11" ht="12.75">
      <c r="A166" s="375"/>
      <c r="B166" s="375"/>
      <c r="C166" s="375"/>
      <c r="D166" s="375"/>
      <c r="E166" s="375"/>
      <c r="F166" s="375"/>
      <c r="G166" s="375"/>
      <c r="H166" s="375"/>
      <c r="I166" s="375"/>
      <c r="J166" s="375"/>
      <c r="K166" s="375"/>
    </row>
    <row r="167" spans="1:11" ht="12.75">
      <c r="A167" s="375"/>
      <c r="B167" s="375"/>
      <c r="C167" s="375"/>
      <c r="D167" s="375"/>
      <c r="E167" s="375"/>
      <c r="F167" s="375"/>
      <c r="G167" s="375"/>
      <c r="H167" s="375"/>
      <c r="I167" s="375"/>
      <c r="J167" s="375"/>
      <c r="K167" s="375"/>
    </row>
    <row r="168" spans="1:11" ht="12.75">
      <c r="A168" s="375"/>
      <c r="B168" s="375"/>
      <c r="C168" s="375"/>
      <c r="D168" s="375"/>
      <c r="E168" s="375"/>
      <c r="F168" s="375"/>
      <c r="G168" s="375"/>
      <c r="H168" s="375"/>
      <c r="I168" s="375"/>
      <c r="J168" s="375"/>
      <c r="K168" s="375"/>
    </row>
    <row r="169" spans="1:11" ht="12.75">
      <c r="A169" s="375"/>
      <c r="B169" s="375"/>
      <c r="C169" s="375"/>
      <c r="D169" s="375"/>
      <c r="E169" s="375"/>
      <c r="F169" s="375"/>
      <c r="G169" s="375"/>
      <c r="H169" s="375"/>
      <c r="I169" s="375"/>
      <c r="J169" s="375"/>
      <c r="K169" s="375"/>
    </row>
    <row r="170" spans="1:11" ht="12.75">
      <c r="A170" s="375"/>
      <c r="B170" s="375"/>
      <c r="C170" s="375"/>
      <c r="D170" s="375"/>
      <c r="E170" s="375"/>
      <c r="F170" s="375"/>
      <c r="G170" s="375"/>
      <c r="H170" s="375"/>
      <c r="I170" s="375"/>
      <c r="J170" s="375"/>
      <c r="K170" s="375"/>
    </row>
    <row r="171" spans="1:11" ht="12.75">
      <c r="A171" s="375"/>
      <c r="B171" s="375"/>
      <c r="C171" s="375"/>
      <c r="D171" s="375"/>
      <c r="E171" s="375"/>
      <c r="F171" s="375"/>
      <c r="G171" s="375"/>
      <c r="H171" s="375"/>
      <c r="I171" s="375"/>
      <c r="J171" s="375"/>
      <c r="K171" s="375"/>
    </row>
    <row r="172" spans="1:11" ht="12.75">
      <c r="A172" s="375"/>
      <c r="B172" s="375"/>
      <c r="C172" s="375"/>
      <c r="D172" s="375"/>
      <c r="E172" s="375"/>
      <c r="F172" s="375"/>
      <c r="G172" s="375"/>
      <c r="H172" s="375"/>
      <c r="I172" s="375"/>
      <c r="J172" s="375"/>
      <c r="K172" s="375"/>
    </row>
    <row r="173" spans="1:11" ht="12.75">
      <c r="A173" s="375"/>
      <c r="B173" s="375"/>
      <c r="C173" s="375"/>
      <c r="D173" s="375"/>
      <c r="E173" s="375"/>
      <c r="F173" s="375"/>
      <c r="G173" s="375"/>
      <c r="H173" s="375"/>
      <c r="I173" s="375"/>
      <c r="J173" s="375"/>
      <c r="K173" s="375"/>
    </row>
    <row r="174" spans="1:11" ht="12.75">
      <c r="A174" s="375"/>
      <c r="B174" s="375"/>
      <c r="C174" s="375"/>
      <c r="D174" s="375"/>
      <c r="E174" s="375"/>
      <c r="F174" s="375"/>
      <c r="G174" s="375"/>
      <c r="H174" s="375"/>
      <c r="I174" s="375"/>
      <c r="J174" s="375"/>
      <c r="K174" s="375"/>
    </row>
    <row r="175" spans="1:11" ht="12.75">
      <c r="A175" s="375"/>
      <c r="B175" s="375"/>
      <c r="C175" s="375"/>
      <c r="D175" s="375"/>
      <c r="E175" s="375"/>
      <c r="F175" s="375"/>
      <c r="G175" s="375"/>
      <c r="H175" s="375"/>
      <c r="I175" s="375"/>
      <c r="J175" s="375"/>
      <c r="K175" s="375"/>
    </row>
    <row r="176" spans="1:11" ht="12.75">
      <c r="A176" s="375"/>
      <c r="B176" s="375"/>
      <c r="C176" s="375"/>
      <c r="D176" s="375"/>
      <c r="E176" s="375"/>
      <c r="F176" s="375"/>
      <c r="G176" s="375"/>
      <c r="H176" s="375"/>
      <c r="I176" s="375"/>
      <c r="J176" s="375"/>
      <c r="K176" s="375"/>
    </row>
    <row r="177" spans="1:11" ht="12.75">
      <c r="A177" s="375"/>
      <c r="B177" s="375"/>
      <c r="C177" s="375"/>
      <c r="D177" s="375"/>
      <c r="E177" s="375"/>
      <c r="F177" s="375"/>
      <c r="G177" s="375"/>
      <c r="H177" s="375"/>
      <c r="I177" s="375"/>
      <c r="J177" s="375"/>
      <c r="K177" s="375"/>
    </row>
    <row r="178" spans="1:11" ht="12.75">
      <c r="A178" s="375"/>
      <c r="B178" s="375"/>
      <c r="C178" s="375"/>
      <c r="D178" s="375"/>
      <c r="E178" s="375"/>
      <c r="F178" s="375"/>
      <c r="G178" s="375"/>
      <c r="H178" s="375"/>
      <c r="I178" s="375"/>
      <c r="J178" s="375"/>
      <c r="K178" s="375"/>
    </row>
    <row r="179" spans="1:11" ht="12.75">
      <c r="A179" s="375"/>
      <c r="B179" s="375"/>
      <c r="C179" s="375"/>
      <c r="D179" s="375"/>
      <c r="E179" s="375"/>
      <c r="F179" s="375"/>
      <c r="G179" s="375"/>
      <c r="H179" s="375"/>
      <c r="I179" s="375"/>
      <c r="J179" s="375"/>
      <c r="K179" s="375"/>
    </row>
    <row r="180" spans="1:11" ht="12.75">
      <c r="A180" s="375"/>
      <c r="B180" s="375"/>
      <c r="C180" s="375"/>
      <c r="D180" s="375"/>
      <c r="E180" s="375"/>
      <c r="F180" s="375"/>
      <c r="G180" s="375"/>
      <c r="H180" s="375"/>
      <c r="I180" s="375"/>
      <c r="J180" s="375"/>
      <c r="K180" s="375"/>
    </row>
    <row r="181" spans="1:11" ht="12.75">
      <c r="A181" s="375"/>
      <c r="B181" s="375"/>
      <c r="C181" s="375"/>
      <c r="D181" s="375"/>
      <c r="E181" s="375"/>
      <c r="F181" s="375"/>
      <c r="G181" s="375"/>
      <c r="H181" s="375"/>
      <c r="I181" s="375"/>
      <c r="J181" s="375"/>
      <c r="K181" s="375"/>
    </row>
    <row r="182" spans="1:11" ht="12.75">
      <c r="A182" s="375"/>
      <c r="B182" s="375"/>
      <c r="C182" s="375"/>
      <c r="D182" s="375"/>
      <c r="E182" s="375"/>
      <c r="F182" s="375"/>
      <c r="G182" s="375"/>
      <c r="H182" s="375"/>
      <c r="I182" s="375"/>
      <c r="J182" s="375"/>
      <c r="K182" s="375"/>
    </row>
    <row r="183" spans="1:11" ht="12.75">
      <c r="A183" s="375"/>
      <c r="B183" s="375"/>
      <c r="C183" s="375"/>
      <c r="D183" s="375"/>
      <c r="E183" s="375"/>
      <c r="F183" s="375"/>
      <c r="G183" s="375"/>
      <c r="H183" s="375"/>
      <c r="I183" s="375"/>
      <c r="J183" s="375"/>
      <c r="K183" s="375"/>
    </row>
    <row r="184" spans="1:11" ht="12.75">
      <c r="A184" s="375"/>
      <c r="B184" s="375"/>
      <c r="C184" s="375"/>
      <c r="D184" s="375"/>
      <c r="E184" s="375"/>
      <c r="F184" s="375"/>
      <c r="G184" s="375"/>
      <c r="H184" s="375"/>
      <c r="I184" s="375"/>
      <c r="J184" s="375"/>
      <c r="K184" s="375"/>
    </row>
    <row r="185" spans="1:11" ht="12.75">
      <c r="A185" s="375"/>
      <c r="B185" s="375"/>
      <c r="C185" s="375"/>
      <c r="D185" s="375"/>
      <c r="E185" s="375"/>
      <c r="F185" s="375"/>
      <c r="G185" s="375"/>
      <c r="H185" s="375"/>
      <c r="I185" s="375"/>
      <c r="J185" s="375"/>
      <c r="K185" s="375"/>
    </row>
    <row r="186" spans="1:11" ht="12.75">
      <c r="A186" s="375"/>
      <c r="B186" s="375"/>
      <c r="C186" s="375"/>
      <c r="D186" s="375"/>
      <c r="E186" s="375"/>
      <c r="F186" s="375"/>
      <c r="G186" s="375"/>
      <c r="H186" s="375"/>
      <c r="I186" s="375"/>
      <c r="J186" s="375"/>
      <c r="K186" s="375"/>
    </row>
    <row r="187" spans="1:11" ht="12.75">
      <c r="A187" s="375"/>
      <c r="B187" s="375"/>
      <c r="C187" s="375"/>
      <c r="D187" s="375"/>
      <c r="E187" s="375"/>
      <c r="F187" s="375"/>
      <c r="G187" s="375"/>
      <c r="H187" s="375"/>
      <c r="I187" s="375"/>
      <c r="J187" s="375"/>
      <c r="K187" s="375"/>
    </row>
    <row r="188" spans="1:11" ht="12.75">
      <c r="A188" s="375"/>
      <c r="B188" s="375"/>
      <c r="C188" s="375"/>
      <c r="D188" s="375"/>
      <c r="E188" s="375"/>
      <c r="F188" s="375"/>
      <c r="G188" s="375"/>
      <c r="H188" s="375"/>
      <c r="I188" s="375"/>
      <c r="J188" s="375"/>
      <c r="K188" s="375"/>
    </row>
    <row r="189" spans="1:11" ht="12.75">
      <c r="A189" s="375"/>
      <c r="B189" s="375"/>
      <c r="C189" s="375"/>
      <c r="D189" s="375"/>
      <c r="E189" s="375"/>
      <c r="F189" s="375"/>
      <c r="G189" s="375"/>
      <c r="H189" s="375"/>
      <c r="I189" s="375"/>
      <c r="J189" s="375"/>
      <c r="K189" s="375"/>
    </row>
    <row r="190" spans="1:11" ht="12.75">
      <c r="A190" s="375"/>
      <c r="B190" s="375"/>
      <c r="C190" s="375"/>
      <c r="D190" s="375"/>
      <c r="E190" s="375"/>
      <c r="F190" s="375"/>
      <c r="G190" s="375"/>
      <c r="H190" s="375"/>
      <c r="I190" s="375"/>
      <c r="J190" s="375"/>
      <c r="K190" s="375"/>
    </row>
    <row r="191" spans="1:11" ht="12.75">
      <c r="A191" s="375"/>
      <c r="B191" s="375"/>
      <c r="C191" s="375"/>
      <c r="D191" s="375"/>
      <c r="E191" s="375"/>
      <c r="F191" s="375"/>
      <c r="G191" s="375"/>
      <c r="H191" s="375"/>
      <c r="I191" s="375"/>
      <c r="J191" s="375"/>
      <c r="K191" s="375"/>
    </row>
    <row r="192" spans="1:11" ht="12.75">
      <c r="A192" s="375"/>
      <c r="B192" s="375"/>
      <c r="C192" s="375"/>
      <c r="D192" s="375"/>
      <c r="E192" s="375"/>
      <c r="F192" s="375"/>
      <c r="G192" s="375"/>
      <c r="H192" s="375"/>
      <c r="I192" s="375"/>
      <c r="J192" s="375"/>
      <c r="K192" s="375"/>
    </row>
    <row r="193" spans="1:11" ht="12.75">
      <c r="A193" s="375"/>
      <c r="B193" s="375"/>
      <c r="C193" s="375"/>
      <c r="D193" s="375"/>
      <c r="E193" s="375"/>
      <c r="F193" s="375"/>
      <c r="G193" s="375"/>
      <c r="H193" s="375"/>
      <c r="I193" s="375"/>
      <c r="J193" s="375"/>
      <c r="K193" s="375"/>
    </row>
    <row r="194" spans="1:11" ht="12.75">
      <c r="A194" s="375"/>
      <c r="B194" s="375"/>
      <c r="C194" s="375"/>
      <c r="D194" s="375"/>
      <c r="E194" s="375"/>
      <c r="F194" s="375"/>
      <c r="G194" s="375"/>
      <c r="H194" s="375"/>
      <c r="I194" s="375"/>
      <c r="J194" s="375"/>
      <c r="K194" s="375"/>
    </row>
    <row r="195" spans="1:11" ht="12.75">
      <c r="A195" s="375"/>
      <c r="B195" s="375"/>
      <c r="C195" s="375"/>
      <c r="D195" s="375"/>
      <c r="E195" s="375"/>
      <c r="F195" s="375"/>
      <c r="G195" s="375"/>
      <c r="H195" s="375"/>
      <c r="I195" s="375"/>
      <c r="J195" s="375"/>
      <c r="K195" s="375"/>
    </row>
    <row r="196" spans="1:11" ht="12.75">
      <c r="A196" s="375"/>
      <c r="B196" s="375"/>
      <c r="C196" s="375"/>
      <c r="D196" s="375"/>
      <c r="E196" s="375"/>
      <c r="F196" s="375"/>
      <c r="G196" s="375"/>
      <c r="H196" s="375"/>
      <c r="I196" s="375"/>
      <c r="J196" s="375"/>
      <c r="K196" s="375"/>
    </row>
    <row r="197" spans="1:11" ht="12.75">
      <c r="A197" s="375"/>
      <c r="B197" s="375"/>
      <c r="C197" s="375"/>
      <c r="D197" s="375"/>
      <c r="E197" s="375"/>
      <c r="F197" s="375"/>
      <c r="G197" s="375"/>
      <c r="H197" s="375"/>
      <c r="I197" s="375"/>
      <c r="J197" s="375"/>
      <c r="K197" s="375"/>
    </row>
    <row r="198" spans="1:11" ht="12.75">
      <c r="A198" s="375"/>
      <c r="B198" s="375"/>
      <c r="C198" s="375"/>
      <c r="D198" s="375"/>
      <c r="E198" s="375"/>
      <c r="F198" s="375"/>
      <c r="G198" s="375"/>
      <c r="H198" s="375"/>
      <c r="I198" s="375"/>
      <c r="J198" s="375"/>
      <c r="K198" s="375"/>
    </row>
    <row r="199" spans="1:11" ht="12.75">
      <c r="A199" s="375"/>
      <c r="B199" s="375"/>
      <c r="C199" s="375"/>
      <c r="D199" s="375"/>
      <c r="E199" s="375"/>
      <c r="F199" s="375"/>
      <c r="G199" s="375"/>
      <c r="H199" s="375"/>
      <c r="I199" s="375"/>
      <c r="J199" s="375"/>
      <c r="K199" s="375"/>
    </row>
    <row r="200" spans="1:11" ht="12.75">
      <c r="A200" s="375"/>
      <c r="B200" s="375"/>
      <c r="C200" s="375"/>
      <c r="D200" s="375"/>
      <c r="E200" s="375"/>
      <c r="F200" s="375"/>
      <c r="G200" s="375"/>
      <c r="H200" s="375"/>
      <c r="I200" s="375"/>
      <c r="J200" s="375"/>
      <c r="K200" s="375"/>
    </row>
    <row r="201" spans="1:11" ht="12.75">
      <c r="A201" s="375"/>
      <c r="B201" s="375"/>
      <c r="C201" s="375"/>
      <c r="D201" s="375"/>
      <c r="E201" s="375"/>
      <c r="F201" s="375"/>
      <c r="G201" s="375"/>
      <c r="H201" s="375"/>
      <c r="I201" s="375"/>
      <c r="J201" s="375"/>
      <c r="K201" s="375"/>
    </row>
    <row r="202" spans="1:11" ht="12.75">
      <c r="A202" s="375"/>
      <c r="B202" s="375"/>
      <c r="C202" s="375"/>
      <c r="D202" s="375"/>
      <c r="E202" s="375"/>
      <c r="F202" s="375"/>
      <c r="G202" s="375"/>
      <c r="H202" s="375"/>
      <c r="I202" s="375"/>
      <c r="J202" s="375"/>
      <c r="K202" s="375"/>
    </row>
    <row r="203" spans="1:11" ht="12.75">
      <c r="A203" s="375"/>
      <c r="B203" s="375"/>
      <c r="C203" s="375"/>
      <c r="D203" s="375"/>
      <c r="E203" s="375"/>
      <c r="F203" s="375"/>
      <c r="G203" s="375"/>
      <c r="H203" s="375"/>
      <c r="I203" s="375"/>
      <c r="J203" s="375"/>
      <c r="K203" s="375"/>
    </row>
    <row r="204" spans="1:11" ht="12.75">
      <c r="A204" s="375"/>
      <c r="B204" s="375"/>
      <c r="C204" s="375"/>
      <c r="D204" s="375"/>
      <c r="E204" s="375"/>
      <c r="F204" s="375"/>
      <c r="G204" s="375"/>
      <c r="H204" s="375"/>
      <c r="I204" s="375"/>
      <c r="J204" s="375"/>
      <c r="K204" s="375"/>
    </row>
    <row r="205" spans="1:11" ht="12.75">
      <c r="A205" s="375"/>
      <c r="B205" s="375"/>
      <c r="C205" s="375"/>
      <c r="D205" s="375"/>
      <c r="E205" s="375"/>
      <c r="F205" s="375"/>
      <c r="G205" s="375"/>
      <c r="H205" s="375"/>
      <c r="I205" s="375"/>
      <c r="J205" s="375"/>
      <c r="K205" s="375"/>
    </row>
    <row r="206" spans="1:11" ht="12.75">
      <c r="A206" s="375"/>
      <c r="B206" s="375"/>
      <c r="C206" s="375"/>
      <c r="D206" s="375"/>
      <c r="E206" s="375"/>
      <c r="F206" s="375"/>
      <c r="G206" s="375"/>
      <c r="H206" s="375"/>
      <c r="I206" s="375"/>
      <c r="J206" s="375"/>
      <c r="K206" s="375"/>
    </row>
    <row r="207" spans="1:11" ht="12.75">
      <c r="A207" s="375"/>
      <c r="B207" s="375"/>
      <c r="C207" s="375"/>
      <c r="D207" s="375"/>
      <c r="E207" s="375"/>
      <c r="F207" s="375"/>
      <c r="G207" s="375"/>
      <c r="H207" s="375"/>
      <c r="I207" s="375"/>
      <c r="J207" s="375"/>
      <c r="K207" s="375"/>
    </row>
    <row r="208" spans="1:11" ht="12.75">
      <c r="A208" s="375"/>
      <c r="B208" s="375"/>
      <c r="C208" s="375"/>
      <c r="D208" s="375"/>
      <c r="E208" s="375"/>
      <c r="F208" s="375"/>
      <c r="G208" s="375"/>
      <c r="H208" s="375"/>
      <c r="I208" s="375"/>
      <c r="J208" s="375"/>
      <c r="K208" s="375"/>
    </row>
    <row r="209" spans="1:11" ht="12.75">
      <c r="A209" s="375"/>
      <c r="B209" s="375"/>
      <c r="C209" s="375"/>
      <c r="D209" s="375"/>
      <c r="E209" s="375"/>
      <c r="F209" s="375"/>
      <c r="G209" s="375"/>
      <c r="H209" s="375"/>
      <c r="I209" s="375"/>
      <c r="J209" s="375"/>
      <c r="K209" s="375"/>
    </row>
    <row r="210" spans="1:11" ht="12.75">
      <c r="A210" s="375"/>
      <c r="B210" s="375"/>
      <c r="C210" s="375"/>
      <c r="D210" s="375"/>
      <c r="E210" s="375"/>
      <c r="F210" s="375"/>
      <c r="G210" s="375"/>
      <c r="H210" s="375"/>
      <c r="I210" s="375"/>
      <c r="J210" s="375"/>
      <c r="K210" s="375"/>
    </row>
    <row r="211" spans="1:11" ht="12.75">
      <c r="A211" s="375"/>
      <c r="B211" s="375"/>
      <c r="C211" s="375"/>
      <c r="D211" s="375"/>
      <c r="E211" s="375"/>
      <c r="F211" s="375"/>
      <c r="G211" s="375"/>
      <c r="H211" s="375"/>
      <c r="I211" s="375"/>
      <c r="J211" s="375"/>
      <c r="K211" s="375"/>
    </row>
    <row r="212" spans="1:11" ht="12.75">
      <c r="A212" s="375"/>
      <c r="B212" s="375"/>
      <c r="C212" s="375"/>
      <c r="D212" s="375"/>
      <c r="E212" s="375"/>
      <c r="F212" s="375"/>
      <c r="G212" s="375"/>
      <c r="H212" s="375"/>
      <c r="I212" s="375"/>
      <c r="J212" s="375"/>
      <c r="K212" s="375"/>
    </row>
    <row r="213" spans="1:11" ht="12.75">
      <c r="A213" s="375"/>
      <c r="B213" s="375"/>
      <c r="C213" s="375"/>
      <c r="D213" s="375"/>
      <c r="E213" s="375"/>
      <c r="F213" s="375"/>
      <c r="G213" s="375"/>
      <c r="H213" s="375"/>
      <c r="I213" s="375"/>
      <c r="J213" s="375"/>
      <c r="K213" s="375"/>
    </row>
    <row r="214" spans="1:11" ht="12.75">
      <c r="A214" s="375"/>
      <c r="B214" s="375"/>
      <c r="C214" s="375"/>
      <c r="D214" s="375"/>
      <c r="E214" s="375"/>
      <c r="F214" s="375"/>
      <c r="G214" s="375"/>
      <c r="H214" s="375"/>
      <c r="I214" s="375"/>
      <c r="J214" s="375"/>
      <c r="K214" s="375"/>
    </row>
    <row r="215" spans="1:11" ht="12.75">
      <c r="A215" s="375"/>
      <c r="B215" s="375"/>
      <c r="C215" s="375"/>
      <c r="D215" s="375"/>
      <c r="E215" s="375"/>
      <c r="F215" s="375"/>
      <c r="G215" s="375"/>
      <c r="H215" s="375"/>
      <c r="I215" s="375"/>
      <c r="J215" s="375"/>
      <c r="K215" s="375"/>
    </row>
    <row r="216" spans="1:11" ht="12.75">
      <c r="A216" s="375"/>
      <c r="B216" s="375"/>
      <c r="C216" s="375"/>
      <c r="D216" s="375"/>
      <c r="E216" s="375"/>
      <c r="F216" s="375"/>
      <c r="G216" s="375"/>
      <c r="H216" s="375"/>
      <c r="I216" s="375"/>
      <c r="J216" s="375"/>
      <c r="K216" s="375"/>
    </row>
    <row r="217" spans="1:11" ht="12.75">
      <c r="A217" s="375"/>
      <c r="B217" s="375"/>
      <c r="C217" s="375"/>
      <c r="D217" s="375"/>
      <c r="E217" s="375"/>
      <c r="F217" s="375"/>
      <c r="G217" s="375"/>
      <c r="H217" s="375"/>
      <c r="I217" s="375"/>
      <c r="J217" s="375"/>
      <c r="K217" s="375"/>
    </row>
    <row r="218" spans="1:11" ht="12.75">
      <c r="A218" s="375"/>
      <c r="B218" s="375"/>
      <c r="C218" s="375"/>
      <c r="D218" s="375"/>
      <c r="E218" s="375"/>
      <c r="F218" s="375"/>
      <c r="G218" s="375"/>
      <c r="H218" s="375"/>
      <c r="I218" s="375"/>
      <c r="J218" s="375"/>
      <c r="K218" s="375"/>
    </row>
    <row r="219" spans="1:11" ht="12.75">
      <c r="A219" s="375"/>
      <c r="B219" s="375"/>
      <c r="C219" s="375"/>
      <c r="D219" s="375"/>
      <c r="E219" s="375"/>
      <c r="F219" s="375"/>
      <c r="G219" s="375"/>
      <c r="H219" s="375"/>
      <c r="I219" s="375"/>
      <c r="J219" s="375"/>
      <c r="K219" s="375"/>
    </row>
    <row r="220" spans="1:11" ht="12.75">
      <c r="A220" s="375"/>
      <c r="B220" s="375"/>
      <c r="C220" s="375"/>
      <c r="D220" s="375"/>
      <c r="E220" s="375"/>
      <c r="F220" s="375"/>
      <c r="G220" s="375"/>
      <c r="H220" s="375"/>
      <c r="I220" s="375"/>
      <c r="J220" s="375"/>
      <c r="K220" s="375"/>
    </row>
    <row r="221" spans="1:11" ht="12.75">
      <c r="A221" s="375"/>
      <c r="B221" s="375"/>
      <c r="C221" s="375"/>
      <c r="D221" s="375"/>
      <c r="E221" s="375"/>
      <c r="F221" s="375"/>
      <c r="G221" s="375"/>
      <c r="H221" s="375"/>
      <c r="I221" s="375"/>
      <c r="J221" s="375"/>
      <c r="K221" s="375"/>
    </row>
    <row r="222" spans="1:11" ht="12.75">
      <c r="A222" s="375"/>
      <c r="B222" s="375"/>
      <c r="C222" s="375"/>
      <c r="D222" s="375"/>
      <c r="E222" s="375"/>
      <c r="F222" s="375"/>
      <c r="G222" s="375"/>
      <c r="H222" s="375"/>
      <c r="I222" s="375"/>
      <c r="J222" s="375"/>
      <c r="K222" s="375"/>
    </row>
    <row r="223" spans="1:11" ht="12.75">
      <c r="A223" s="375"/>
      <c r="B223" s="375"/>
      <c r="C223" s="375"/>
      <c r="D223" s="375"/>
      <c r="E223" s="375"/>
      <c r="F223" s="375"/>
      <c r="G223" s="375"/>
      <c r="H223" s="375"/>
      <c r="I223" s="375"/>
      <c r="J223" s="375"/>
      <c r="K223" s="375"/>
    </row>
    <row r="224" spans="1:11" ht="12.75">
      <c r="A224" s="375"/>
      <c r="B224" s="375"/>
      <c r="C224" s="375"/>
      <c r="D224" s="375"/>
      <c r="E224" s="375"/>
      <c r="F224" s="375"/>
      <c r="G224" s="375"/>
      <c r="H224" s="375"/>
      <c r="I224" s="375"/>
      <c r="J224" s="375"/>
      <c r="K224" s="375"/>
    </row>
    <row r="225" spans="1:11" ht="12.75">
      <c r="A225" s="375"/>
      <c r="B225" s="375"/>
      <c r="C225" s="375"/>
      <c r="D225" s="375"/>
      <c r="E225" s="375"/>
      <c r="F225" s="375"/>
      <c r="G225" s="375"/>
      <c r="H225" s="375"/>
      <c r="I225" s="375"/>
      <c r="J225" s="375"/>
      <c r="K225" s="375"/>
    </row>
    <row r="226" spans="1:11" ht="12.75">
      <c r="A226" s="375"/>
      <c r="B226" s="375"/>
      <c r="C226" s="375"/>
      <c r="D226" s="375"/>
      <c r="E226" s="375"/>
      <c r="F226" s="375"/>
      <c r="G226" s="375"/>
      <c r="H226" s="375"/>
      <c r="I226" s="375"/>
      <c r="J226" s="375"/>
      <c r="K226" s="375"/>
    </row>
    <row r="227" spans="1:11" ht="12.75">
      <c r="A227" s="375"/>
      <c r="B227" s="375"/>
      <c r="C227" s="375"/>
      <c r="D227" s="375"/>
      <c r="E227" s="375"/>
      <c r="F227" s="375"/>
      <c r="G227" s="375"/>
      <c r="H227" s="375"/>
      <c r="I227" s="375"/>
      <c r="J227" s="375"/>
      <c r="K227" s="375"/>
    </row>
    <row r="228" spans="1:11" ht="12.75">
      <c r="A228" s="375"/>
      <c r="B228" s="375"/>
      <c r="C228" s="375"/>
      <c r="D228" s="375"/>
      <c r="E228" s="375"/>
      <c r="F228" s="375"/>
      <c r="G228" s="375"/>
      <c r="H228" s="375"/>
      <c r="I228" s="375"/>
      <c r="J228" s="375"/>
      <c r="K228" s="375"/>
    </row>
    <row r="229" spans="1:11" ht="12.75">
      <c r="A229" s="375"/>
      <c r="B229" s="375"/>
      <c r="C229" s="375"/>
      <c r="D229" s="375"/>
      <c r="E229" s="375"/>
      <c r="F229" s="375"/>
      <c r="G229" s="375"/>
      <c r="H229" s="375"/>
      <c r="I229" s="375"/>
      <c r="J229" s="375"/>
      <c r="K229" s="375"/>
    </row>
    <row r="230" spans="1:11" ht="12.75">
      <c r="A230" s="375"/>
      <c r="B230" s="375"/>
      <c r="C230" s="375"/>
      <c r="D230" s="375"/>
      <c r="E230" s="375"/>
      <c r="F230" s="375"/>
      <c r="G230" s="375"/>
      <c r="H230" s="375"/>
      <c r="I230" s="375"/>
      <c r="J230" s="375"/>
      <c r="K230" s="375"/>
    </row>
    <row r="231" spans="1:11" ht="12.75">
      <c r="A231" s="375"/>
      <c r="B231" s="375"/>
      <c r="C231" s="375"/>
      <c r="D231" s="375"/>
      <c r="E231" s="375"/>
      <c r="F231" s="375"/>
      <c r="G231" s="375"/>
      <c r="H231" s="375"/>
      <c r="I231" s="375"/>
      <c r="J231" s="375"/>
      <c r="K231" s="375"/>
    </row>
    <row r="232" spans="1:11" ht="12.75">
      <c r="A232" s="375"/>
      <c r="B232" s="375"/>
      <c r="C232" s="375"/>
      <c r="D232" s="375"/>
      <c r="E232" s="375"/>
      <c r="F232" s="375"/>
      <c r="G232" s="375"/>
      <c r="H232" s="375"/>
      <c r="I232" s="375"/>
      <c r="J232" s="375"/>
      <c r="K232" s="375"/>
    </row>
    <row r="233" spans="1:11" ht="12.75">
      <c r="A233" s="375"/>
      <c r="B233" s="375"/>
      <c r="C233" s="375"/>
      <c r="D233" s="375"/>
      <c r="E233" s="375"/>
      <c r="F233" s="375"/>
      <c r="G233" s="375"/>
      <c r="H233" s="375"/>
      <c r="I233" s="375"/>
      <c r="J233" s="375"/>
      <c r="K233" s="375"/>
    </row>
    <row r="234" spans="1:11" ht="12.75">
      <c r="A234" s="375"/>
      <c r="B234" s="375"/>
      <c r="C234" s="375"/>
      <c r="D234" s="375"/>
      <c r="E234" s="375"/>
      <c r="F234" s="375"/>
      <c r="G234" s="375"/>
      <c r="H234" s="375"/>
      <c r="I234" s="375"/>
      <c r="J234" s="375"/>
      <c r="K234" s="375"/>
    </row>
    <row r="235" spans="1:11" ht="12.75">
      <c r="A235" s="375"/>
      <c r="B235" s="375"/>
      <c r="C235" s="375"/>
      <c r="D235" s="375"/>
      <c r="E235" s="375"/>
      <c r="F235" s="375"/>
      <c r="G235" s="375"/>
      <c r="H235" s="375"/>
      <c r="I235" s="375"/>
      <c r="J235" s="375"/>
      <c r="K235" s="375"/>
    </row>
    <row r="236" spans="1:11" ht="12.75">
      <c r="A236" s="375"/>
      <c r="B236" s="375"/>
      <c r="C236" s="375"/>
      <c r="D236" s="375"/>
      <c r="E236" s="375"/>
      <c r="F236" s="375"/>
      <c r="G236" s="375"/>
      <c r="H236" s="375"/>
      <c r="I236" s="375"/>
      <c r="J236" s="375"/>
      <c r="K236" s="375"/>
    </row>
    <row r="237" spans="1:11" ht="12.75">
      <c r="A237" s="375"/>
      <c r="B237" s="375"/>
      <c r="C237" s="375"/>
      <c r="D237" s="375"/>
      <c r="E237" s="375"/>
      <c r="F237" s="375"/>
      <c r="G237" s="375"/>
      <c r="H237" s="375"/>
      <c r="I237" s="375"/>
      <c r="J237" s="375"/>
      <c r="K237" s="375"/>
    </row>
    <row r="238" spans="1:11" ht="12.75">
      <c r="A238" s="375"/>
      <c r="B238" s="375"/>
      <c r="C238" s="375"/>
      <c r="D238" s="375"/>
      <c r="E238" s="375"/>
      <c r="F238" s="375"/>
      <c r="G238" s="375"/>
      <c r="H238" s="375"/>
      <c r="I238" s="375"/>
      <c r="J238" s="375"/>
      <c r="K238" s="375"/>
    </row>
    <row r="239" spans="1:11" ht="12.75">
      <c r="A239" s="375"/>
      <c r="B239" s="375"/>
      <c r="C239" s="375"/>
      <c r="D239" s="375"/>
      <c r="E239" s="375"/>
      <c r="F239" s="375"/>
      <c r="G239" s="375"/>
      <c r="H239" s="375"/>
      <c r="I239" s="375"/>
      <c r="J239" s="375"/>
      <c r="K239" s="375"/>
    </row>
    <row r="240" spans="1:11" ht="12.75">
      <c r="A240" s="375"/>
      <c r="B240" s="375"/>
      <c r="C240" s="375"/>
      <c r="D240" s="375"/>
      <c r="E240" s="375"/>
      <c r="F240" s="375"/>
      <c r="G240" s="375"/>
      <c r="H240" s="375"/>
      <c r="I240" s="375"/>
      <c r="J240" s="375"/>
      <c r="K240" s="375"/>
    </row>
    <row r="241" spans="1:11" ht="12.75">
      <c r="A241" s="375"/>
      <c r="B241" s="375"/>
      <c r="C241" s="375"/>
      <c r="D241" s="375"/>
      <c r="E241" s="375"/>
      <c r="F241" s="375"/>
      <c r="G241" s="375"/>
      <c r="H241" s="375"/>
      <c r="I241" s="375"/>
      <c r="J241" s="375"/>
      <c r="K241" s="375"/>
    </row>
    <row r="242" spans="1:11" ht="12.75">
      <c r="A242" s="375"/>
      <c r="B242" s="375"/>
      <c r="C242" s="375"/>
      <c r="D242" s="375"/>
      <c r="E242" s="375"/>
      <c r="F242" s="375"/>
      <c r="G242" s="375"/>
      <c r="H242" s="375"/>
      <c r="I242" s="375"/>
      <c r="J242" s="375"/>
      <c r="K242" s="375"/>
    </row>
    <row r="243" spans="1:11" ht="12.75">
      <c r="A243" s="375"/>
      <c r="B243" s="375"/>
      <c r="C243" s="375"/>
      <c r="D243" s="375"/>
      <c r="E243" s="375"/>
      <c r="F243" s="375"/>
      <c r="G243" s="375"/>
      <c r="H243" s="375"/>
      <c r="I243" s="375"/>
      <c r="J243" s="375"/>
      <c r="K243" s="375"/>
    </row>
    <row r="244" spans="1:11" ht="12.75">
      <c r="A244" s="375"/>
      <c r="B244" s="375"/>
      <c r="C244" s="375"/>
      <c r="D244" s="375"/>
      <c r="E244" s="375"/>
      <c r="F244" s="375"/>
      <c r="G244" s="375"/>
      <c r="H244" s="375"/>
      <c r="I244" s="375"/>
      <c r="J244" s="375"/>
      <c r="K244" s="375"/>
    </row>
    <row r="245" spans="1:11" ht="12.75">
      <c r="A245" s="375"/>
      <c r="B245" s="375"/>
      <c r="C245" s="375"/>
      <c r="D245" s="375"/>
      <c r="E245" s="375"/>
      <c r="F245" s="375"/>
      <c r="G245" s="375"/>
      <c r="H245" s="375"/>
      <c r="I245" s="375"/>
      <c r="J245" s="375"/>
      <c r="K245" s="375"/>
    </row>
    <row r="246" spans="1:11" ht="12.75">
      <c r="A246" s="375"/>
      <c r="B246" s="375"/>
      <c r="C246" s="375"/>
      <c r="D246" s="375"/>
      <c r="E246" s="375"/>
      <c r="F246" s="375"/>
      <c r="G246" s="375"/>
      <c r="H246" s="375"/>
      <c r="I246" s="375"/>
      <c r="J246" s="375"/>
      <c r="K246" s="375"/>
    </row>
    <row r="247" spans="1:11" ht="12.75">
      <c r="A247" s="375"/>
      <c r="B247" s="375"/>
      <c r="C247" s="375"/>
      <c r="D247" s="375"/>
      <c r="E247" s="375"/>
      <c r="F247" s="375"/>
      <c r="G247" s="375"/>
      <c r="H247" s="375"/>
      <c r="I247" s="375"/>
      <c r="J247" s="375"/>
      <c r="K247" s="375"/>
    </row>
    <row r="248" spans="1:11" ht="12.75">
      <c r="A248" s="375"/>
      <c r="B248" s="375"/>
      <c r="C248" s="375"/>
      <c r="D248" s="375"/>
      <c r="E248" s="375"/>
      <c r="F248" s="375"/>
      <c r="G248" s="375"/>
      <c r="H248" s="375"/>
      <c r="I248" s="375"/>
      <c r="J248" s="375"/>
      <c r="K248" s="375"/>
    </row>
    <row r="249" spans="1:11" ht="12.75">
      <c r="A249" s="375"/>
      <c r="B249" s="375"/>
      <c r="C249" s="375"/>
      <c r="D249" s="375"/>
      <c r="E249" s="375"/>
      <c r="F249" s="375"/>
      <c r="G249" s="375"/>
      <c r="H249" s="375"/>
      <c r="I249" s="375"/>
      <c r="J249" s="375"/>
      <c r="K249" s="375"/>
    </row>
    <row r="250" spans="1:11" ht="12.75">
      <c r="A250" s="375"/>
      <c r="B250" s="375"/>
      <c r="C250" s="375"/>
      <c r="D250" s="375"/>
      <c r="E250" s="375"/>
      <c r="F250" s="375"/>
      <c r="G250" s="375"/>
      <c r="H250" s="375"/>
      <c r="I250" s="375"/>
      <c r="J250" s="375"/>
      <c r="K250" s="375"/>
    </row>
    <row r="251" spans="1:11" ht="12.75">
      <c r="A251" s="375"/>
      <c r="B251" s="375"/>
      <c r="C251" s="375"/>
      <c r="D251" s="375"/>
      <c r="E251" s="375"/>
      <c r="F251" s="375"/>
      <c r="G251" s="375"/>
      <c r="H251" s="375"/>
      <c r="I251" s="375"/>
      <c r="J251" s="375"/>
      <c r="K251" s="375"/>
    </row>
    <row r="252" spans="1:11" ht="12.75">
      <c r="A252" s="375"/>
      <c r="B252" s="375"/>
      <c r="C252" s="375"/>
      <c r="D252" s="375"/>
      <c r="E252" s="375"/>
      <c r="F252" s="375"/>
      <c r="G252" s="375"/>
      <c r="H252" s="375"/>
      <c r="I252" s="375"/>
      <c r="J252" s="375"/>
      <c r="K252" s="375"/>
    </row>
    <row r="253" spans="1:11" ht="12.75">
      <c r="A253" s="375"/>
      <c r="B253" s="375"/>
      <c r="C253" s="375"/>
      <c r="D253" s="375"/>
      <c r="E253" s="375"/>
      <c r="F253" s="375"/>
      <c r="G253" s="375"/>
      <c r="H253" s="375"/>
      <c r="I253" s="375"/>
      <c r="J253" s="375"/>
      <c r="K253" s="375"/>
    </row>
    <row r="254" spans="1:11" ht="12.75">
      <c r="A254" s="375"/>
      <c r="B254" s="375"/>
      <c r="C254" s="375"/>
      <c r="D254" s="375"/>
      <c r="E254" s="375"/>
      <c r="F254" s="375"/>
      <c r="G254" s="375"/>
      <c r="H254" s="375"/>
      <c r="I254" s="375"/>
      <c r="J254" s="375"/>
      <c r="K254" s="375"/>
    </row>
    <row r="255" spans="1:11" ht="12.75">
      <c r="A255" s="375"/>
      <c r="B255" s="375"/>
      <c r="C255" s="375"/>
      <c r="D255" s="375"/>
      <c r="E255" s="375"/>
      <c r="F255" s="375"/>
      <c r="G255" s="375"/>
      <c r="H255" s="375"/>
      <c r="I255" s="375"/>
      <c r="J255" s="375"/>
      <c r="K255" s="375"/>
    </row>
    <row r="256" spans="1:11" ht="12.75">
      <c r="A256" s="375"/>
      <c r="B256" s="375"/>
      <c r="C256" s="375"/>
      <c r="D256" s="375"/>
      <c r="E256" s="375"/>
      <c r="F256" s="375"/>
      <c r="G256" s="375"/>
      <c r="H256" s="375"/>
      <c r="I256" s="375"/>
      <c r="J256" s="375"/>
      <c r="K256" s="375"/>
    </row>
    <row r="257" spans="1:11" ht="12.75">
      <c r="A257" s="375"/>
      <c r="B257" s="375"/>
      <c r="C257" s="375"/>
      <c r="D257" s="375"/>
      <c r="E257" s="375"/>
      <c r="F257" s="375"/>
      <c r="G257" s="375"/>
      <c r="H257" s="375"/>
      <c r="I257" s="375"/>
      <c r="J257" s="375"/>
      <c r="K257" s="375"/>
    </row>
    <row r="258" spans="1:11" ht="12.75">
      <c r="A258" s="375"/>
      <c r="B258" s="375"/>
      <c r="C258" s="375"/>
      <c r="D258" s="375"/>
      <c r="E258" s="375"/>
      <c r="F258" s="375"/>
      <c r="G258" s="375"/>
      <c r="H258" s="375"/>
      <c r="I258" s="375"/>
      <c r="J258" s="375"/>
      <c r="K258" s="375"/>
    </row>
    <row r="259" spans="1:11" ht="12.75">
      <c r="A259" s="375"/>
      <c r="B259" s="375"/>
      <c r="C259" s="375"/>
      <c r="D259" s="375"/>
      <c r="E259" s="375"/>
      <c r="F259" s="375"/>
      <c r="G259" s="375"/>
      <c r="H259" s="375"/>
      <c r="I259" s="375"/>
      <c r="J259" s="375"/>
      <c r="K259" s="375"/>
    </row>
    <row r="260" spans="1:11" ht="12.75">
      <c r="A260" s="375"/>
      <c r="B260" s="375"/>
      <c r="C260" s="375"/>
      <c r="D260" s="375"/>
      <c r="E260" s="375"/>
      <c r="F260" s="375"/>
      <c r="G260" s="375"/>
      <c r="H260" s="375"/>
      <c r="I260" s="375"/>
      <c r="J260" s="375"/>
      <c r="K260" s="375"/>
    </row>
    <row r="261" spans="1:11" ht="12.75">
      <c r="A261" s="375"/>
      <c r="B261" s="375"/>
      <c r="C261" s="375"/>
      <c r="D261" s="375"/>
      <c r="E261" s="375"/>
      <c r="F261" s="375"/>
      <c r="G261" s="375"/>
      <c r="H261" s="375"/>
      <c r="I261" s="375"/>
      <c r="J261" s="375"/>
      <c r="K261" s="375"/>
    </row>
    <row r="262" spans="1:11" ht="12.75">
      <c r="A262" s="375"/>
      <c r="B262" s="375"/>
      <c r="C262" s="375"/>
      <c r="D262" s="375"/>
      <c r="E262" s="375"/>
      <c r="F262" s="375"/>
      <c r="G262" s="375"/>
      <c r="H262" s="375"/>
      <c r="I262" s="375"/>
      <c r="J262" s="375"/>
      <c r="K262" s="375"/>
    </row>
    <row r="263" spans="1:11" ht="12.75">
      <c r="A263" s="375"/>
      <c r="B263" s="375"/>
      <c r="C263" s="375"/>
      <c r="D263" s="375"/>
      <c r="E263" s="375"/>
      <c r="F263" s="375"/>
      <c r="G263" s="375"/>
      <c r="H263" s="375"/>
      <c r="I263" s="375"/>
      <c r="J263" s="375"/>
      <c r="K263" s="375"/>
    </row>
    <row r="264" spans="1:11" ht="12.75">
      <c r="A264" s="375"/>
      <c r="B264" s="375"/>
      <c r="C264" s="375"/>
      <c r="D264" s="375"/>
      <c r="E264" s="375"/>
      <c r="F264" s="375"/>
      <c r="G264" s="375"/>
      <c r="H264" s="375"/>
      <c r="I264" s="375"/>
      <c r="J264" s="375"/>
      <c r="K264" s="375"/>
    </row>
    <row r="265" spans="1:11" ht="12.75">
      <c r="A265" s="375"/>
      <c r="B265" s="375"/>
      <c r="C265" s="375"/>
      <c r="D265" s="375"/>
      <c r="E265" s="375"/>
      <c r="F265" s="375"/>
      <c r="G265" s="375"/>
      <c r="H265" s="375"/>
      <c r="I265" s="375"/>
      <c r="J265" s="375"/>
      <c r="K265" s="375"/>
    </row>
    <row r="266" spans="1:11" ht="12.75">
      <c r="A266" s="375"/>
      <c r="B266" s="375"/>
      <c r="C266" s="375"/>
      <c r="D266" s="375"/>
      <c r="E266" s="375"/>
      <c r="F266" s="375"/>
      <c r="G266" s="375"/>
      <c r="H266" s="375"/>
      <c r="I266" s="375"/>
      <c r="J266" s="375"/>
      <c r="K266" s="375"/>
    </row>
    <row r="267" spans="1:11" ht="12.75">
      <c r="A267" s="375"/>
      <c r="B267" s="375"/>
      <c r="C267" s="375"/>
      <c r="D267" s="375"/>
      <c r="E267" s="375"/>
      <c r="F267" s="375"/>
      <c r="G267" s="375"/>
      <c r="H267" s="375"/>
      <c r="I267" s="375"/>
      <c r="J267" s="375"/>
      <c r="K267" s="375"/>
    </row>
    <row r="268" spans="1:11" ht="12.75">
      <c r="A268" s="375"/>
      <c r="B268" s="375"/>
      <c r="C268" s="375"/>
      <c r="D268" s="375"/>
      <c r="E268" s="375"/>
      <c r="F268" s="375"/>
      <c r="G268" s="375"/>
      <c r="H268" s="375"/>
      <c r="I268" s="375"/>
      <c r="J268" s="375"/>
      <c r="K268" s="375"/>
    </row>
    <row r="269" spans="1:11" ht="12.75">
      <c r="A269" s="375"/>
      <c r="B269" s="375"/>
      <c r="C269" s="375"/>
      <c r="D269" s="375"/>
      <c r="E269" s="375"/>
      <c r="F269" s="375"/>
      <c r="G269" s="375"/>
      <c r="H269" s="375"/>
      <c r="I269" s="375"/>
      <c r="J269" s="375"/>
      <c r="K269" s="375"/>
    </row>
    <row r="270" spans="1:11" ht="12.75">
      <c r="A270" s="375"/>
      <c r="B270" s="375"/>
      <c r="C270" s="375"/>
      <c r="D270" s="375"/>
      <c r="E270" s="375"/>
      <c r="F270" s="375"/>
      <c r="G270" s="375"/>
      <c r="H270" s="375"/>
      <c r="I270" s="375"/>
      <c r="J270" s="375"/>
      <c r="K270" s="375"/>
    </row>
    <row r="271" spans="1:11" ht="12.75">
      <c r="A271" s="375"/>
      <c r="B271" s="375"/>
      <c r="C271" s="375"/>
      <c r="D271" s="375"/>
      <c r="E271" s="375"/>
      <c r="F271" s="375"/>
      <c r="G271" s="375"/>
      <c r="H271" s="375"/>
      <c r="I271" s="375"/>
      <c r="J271" s="375"/>
      <c r="K271" s="375"/>
    </row>
    <row r="272" spans="1:11" ht="12.75">
      <c r="A272" s="375"/>
      <c r="B272" s="375"/>
      <c r="C272" s="375"/>
      <c r="D272" s="375"/>
      <c r="E272" s="375"/>
      <c r="F272" s="375"/>
      <c r="G272" s="375"/>
      <c r="H272" s="375"/>
      <c r="I272" s="375"/>
      <c r="J272" s="375"/>
      <c r="K272" s="375"/>
    </row>
    <row r="273" spans="1:11" ht="12.75">
      <c r="A273" s="375"/>
      <c r="B273" s="375"/>
      <c r="C273" s="375"/>
      <c r="D273" s="375"/>
      <c r="E273" s="375"/>
      <c r="F273" s="375"/>
      <c r="G273" s="375"/>
      <c r="H273" s="375"/>
      <c r="I273" s="375"/>
      <c r="J273" s="375"/>
      <c r="K273" s="375"/>
    </row>
    <row r="274" spans="1:11" ht="12.75">
      <c r="A274" s="375"/>
      <c r="B274" s="375"/>
      <c r="C274" s="375"/>
      <c r="D274" s="375"/>
      <c r="E274" s="375"/>
      <c r="F274" s="375"/>
      <c r="G274" s="375"/>
      <c r="H274" s="375"/>
      <c r="I274" s="375"/>
      <c r="J274" s="375"/>
      <c r="K274" s="375"/>
    </row>
    <row r="275" spans="1:11" ht="12.75">
      <c r="A275" s="375"/>
      <c r="B275" s="375"/>
      <c r="C275" s="375"/>
      <c r="D275" s="375"/>
      <c r="E275" s="375"/>
      <c r="F275" s="375"/>
      <c r="G275" s="375"/>
      <c r="H275" s="375"/>
      <c r="I275" s="375"/>
      <c r="J275" s="375"/>
      <c r="K275" s="375"/>
    </row>
    <row r="276" spans="1:11" ht="12.75">
      <c r="A276" s="375"/>
      <c r="B276" s="375"/>
      <c r="C276" s="375"/>
      <c r="D276" s="375"/>
      <c r="E276" s="375"/>
      <c r="F276" s="375"/>
      <c r="G276" s="375"/>
      <c r="H276" s="375"/>
      <c r="I276" s="375"/>
      <c r="J276" s="375"/>
      <c r="K276" s="375"/>
    </row>
    <row r="277" spans="1:11" ht="12.75">
      <c r="A277" s="375"/>
      <c r="B277" s="375"/>
      <c r="C277" s="375"/>
      <c r="D277" s="375"/>
      <c r="E277" s="375"/>
      <c r="F277" s="375"/>
      <c r="G277" s="375"/>
      <c r="H277" s="375"/>
      <c r="I277" s="375"/>
      <c r="J277" s="375"/>
      <c r="K277" s="375"/>
    </row>
    <row r="278" spans="1:11" ht="12.75">
      <c r="A278" s="375"/>
      <c r="B278" s="375"/>
      <c r="C278" s="375"/>
      <c r="D278" s="375"/>
      <c r="E278" s="375"/>
      <c r="F278" s="375"/>
      <c r="G278" s="375"/>
      <c r="H278" s="375"/>
      <c r="I278" s="375"/>
      <c r="J278" s="375"/>
      <c r="K278" s="375"/>
    </row>
    <row r="279" spans="1:11" ht="12.75">
      <c r="A279" s="375"/>
      <c r="B279" s="375"/>
      <c r="C279" s="375"/>
      <c r="D279" s="375"/>
      <c r="E279" s="375"/>
      <c r="F279" s="375"/>
      <c r="G279" s="375"/>
      <c r="H279" s="375"/>
      <c r="I279" s="375"/>
      <c r="J279" s="375"/>
      <c r="K279" s="375"/>
    </row>
    <row r="280" spans="1:11" ht="12.75">
      <c r="A280" s="375"/>
      <c r="B280" s="375"/>
      <c r="C280" s="375"/>
      <c r="D280" s="375"/>
      <c r="E280" s="375"/>
      <c r="F280" s="375"/>
      <c r="G280" s="375"/>
      <c r="H280" s="375"/>
      <c r="I280" s="375"/>
      <c r="J280" s="375"/>
      <c r="K280" s="375"/>
    </row>
    <row r="281" spans="1:11" ht="12.75">
      <c r="A281" s="375"/>
      <c r="B281" s="375"/>
      <c r="C281" s="375"/>
      <c r="D281" s="375"/>
      <c r="E281" s="375"/>
      <c r="F281" s="375"/>
      <c r="G281" s="375"/>
      <c r="H281" s="375"/>
      <c r="I281" s="375"/>
      <c r="J281" s="375"/>
      <c r="K281" s="375"/>
    </row>
    <row r="282" spans="1:11" ht="12.75">
      <c r="A282" s="375"/>
      <c r="B282" s="375"/>
      <c r="C282" s="375"/>
      <c r="D282" s="375"/>
      <c r="E282" s="375"/>
      <c r="F282" s="375"/>
      <c r="G282" s="375"/>
      <c r="H282" s="375"/>
      <c r="I282" s="375"/>
      <c r="J282" s="375"/>
      <c r="K282" s="375"/>
    </row>
    <row r="283" spans="1:11" ht="12.75">
      <c r="A283" s="375"/>
      <c r="B283" s="375"/>
      <c r="C283" s="375"/>
      <c r="D283" s="375"/>
      <c r="E283" s="375"/>
      <c r="F283" s="375"/>
      <c r="G283" s="375"/>
      <c r="H283" s="375"/>
      <c r="I283" s="375"/>
      <c r="J283" s="375"/>
      <c r="K283" s="375"/>
    </row>
    <row r="284" spans="1:11" ht="12.75">
      <c r="A284" s="375"/>
      <c r="B284" s="375"/>
      <c r="C284" s="375"/>
      <c r="D284" s="375"/>
      <c r="E284" s="375"/>
      <c r="F284" s="375"/>
      <c r="G284" s="375"/>
      <c r="H284" s="375"/>
      <c r="I284" s="375"/>
      <c r="J284" s="375"/>
      <c r="K284" s="375"/>
    </row>
    <row r="285" spans="1:11" ht="12.75">
      <c r="A285" s="375"/>
      <c r="B285" s="375"/>
      <c r="C285" s="375"/>
      <c r="D285" s="375"/>
      <c r="E285" s="375"/>
      <c r="F285" s="375"/>
      <c r="G285" s="375"/>
      <c r="H285" s="375"/>
      <c r="I285" s="375"/>
      <c r="J285" s="375"/>
      <c r="K285" s="375"/>
    </row>
    <row r="286" spans="1:11" ht="12.75">
      <c r="A286" s="375"/>
      <c r="B286" s="375"/>
      <c r="C286" s="375"/>
      <c r="D286" s="375"/>
      <c r="E286" s="375"/>
      <c r="F286" s="375"/>
      <c r="G286" s="375"/>
      <c r="H286" s="375"/>
      <c r="I286" s="375"/>
      <c r="J286" s="375"/>
      <c r="K286" s="375"/>
    </row>
    <row r="287" spans="1:11" ht="12.75">
      <c r="A287" s="375"/>
      <c r="B287" s="375"/>
      <c r="C287" s="375"/>
      <c r="D287" s="375"/>
      <c r="E287" s="375"/>
      <c r="F287" s="375"/>
      <c r="G287" s="375"/>
      <c r="H287" s="375"/>
      <c r="I287" s="375"/>
      <c r="J287" s="375"/>
      <c r="K287" s="375"/>
    </row>
    <row r="288" spans="1:11" ht="12.75">
      <c r="A288" s="375"/>
      <c r="B288" s="375"/>
      <c r="C288" s="375"/>
      <c r="D288" s="375"/>
      <c r="E288" s="375"/>
      <c r="F288" s="375"/>
      <c r="G288" s="375"/>
      <c r="H288" s="375"/>
      <c r="I288" s="375"/>
      <c r="J288" s="375"/>
      <c r="K288" s="375"/>
    </row>
    <row r="289" spans="1:11" ht="12.75">
      <c r="A289" s="375"/>
      <c r="B289" s="375"/>
      <c r="C289" s="375"/>
      <c r="D289" s="375"/>
      <c r="E289" s="375"/>
      <c r="F289" s="375"/>
      <c r="G289" s="375"/>
      <c r="H289" s="375"/>
      <c r="I289" s="375"/>
      <c r="J289" s="375"/>
      <c r="K289" s="375"/>
    </row>
    <row r="290" spans="1:11" ht="12.75">
      <c r="A290" s="375"/>
      <c r="B290" s="375"/>
      <c r="C290" s="375"/>
      <c r="D290" s="375"/>
      <c r="E290" s="375"/>
      <c r="F290" s="375"/>
      <c r="G290" s="375"/>
      <c r="H290" s="375"/>
      <c r="I290" s="375"/>
      <c r="J290" s="375"/>
      <c r="K290" s="375"/>
    </row>
    <row r="291" spans="1:11" ht="12.75">
      <c r="A291" s="375"/>
      <c r="B291" s="375"/>
      <c r="C291" s="375"/>
      <c r="D291" s="375"/>
      <c r="E291" s="375"/>
      <c r="F291" s="375"/>
      <c r="G291" s="375"/>
      <c r="H291" s="375"/>
      <c r="I291" s="375"/>
      <c r="J291" s="375"/>
      <c r="K291" s="375"/>
    </row>
    <row r="292" spans="1:11" ht="12.75">
      <c r="A292" s="375"/>
      <c r="B292" s="375"/>
      <c r="C292" s="375"/>
      <c r="D292" s="375"/>
      <c r="E292" s="375"/>
      <c r="F292" s="375"/>
      <c r="G292" s="375"/>
      <c r="H292" s="375"/>
      <c r="I292" s="375"/>
      <c r="J292" s="375"/>
      <c r="K292" s="375"/>
    </row>
    <row r="293" spans="1:11" ht="12.75">
      <c r="A293" s="375"/>
      <c r="B293" s="375"/>
      <c r="C293" s="375"/>
      <c r="D293" s="375"/>
      <c r="E293" s="375"/>
      <c r="F293" s="375"/>
      <c r="G293" s="375"/>
      <c r="H293" s="375"/>
      <c r="I293" s="375"/>
      <c r="J293" s="375"/>
      <c r="K293" s="375"/>
    </row>
    <row r="294" spans="1:11" ht="12.75">
      <c r="A294" s="375"/>
      <c r="B294" s="375"/>
      <c r="C294" s="375"/>
      <c r="D294" s="375"/>
      <c r="E294" s="375"/>
      <c r="F294" s="375"/>
      <c r="G294" s="375"/>
      <c r="H294" s="375"/>
      <c r="I294" s="375"/>
      <c r="J294" s="375"/>
      <c r="K294" s="375"/>
    </row>
    <row r="295" spans="1:11" ht="12.75">
      <c r="A295" s="375"/>
      <c r="B295" s="375"/>
      <c r="C295" s="375"/>
      <c r="D295" s="375"/>
      <c r="E295" s="375"/>
      <c r="F295" s="375"/>
      <c r="G295" s="375"/>
      <c r="H295" s="375"/>
      <c r="I295" s="375"/>
      <c r="J295" s="375"/>
      <c r="K295" s="375"/>
    </row>
    <row r="296" spans="1:11" ht="12.75">
      <c r="A296" s="375"/>
      <c r="B296" s="375"/>
      <c r="C296" s="375"/>
      <c r="D296" s="375"/>
      <c r="E296" s="375"/>
      <c r="F296" s="375"/>
      <c r="G296" s="375"/>
      <c r="H296" s="375"/>
      <c r="I296" s="375"/>
      <c r="J296" s="375"/>
      <c r="K296" s="375"/>
    </row>
    <row r="297" spans="1:11" ht="12.75">
      <c r="A297" s="375"/>
      <c r="B297" s="375"/>
      <c r="C297" s="375"/>
      <c r="D297" s="375"/>
      <c r="E297" s="375"/>
      <c r="F297" s="375"/>
      <c r="G297" s="375"/>
      <c r="H297" s="375"/>
      <c r="I297" s="375"/>
      <c r="J297" s="375"/>
      <c r="K297" s="375"/>
    </row>
    <row r="298" spans="1:11" ht="12.75">
      <c r="A298" s="375"/>
      <c r="B298" s="375"/>
      <c r="C298" s="375"/>
      <c r="D298" s="375"/>
      <c r="E298" s="375"/>
      <c r="F298" s="375"/>
      <c r="G298" s="375"/>
      <c r="H298" s="375"/>
      <c r="I298" s="375"/>
      <c r="J298" s="375"/>
      <c r="K298" s="375"/>
    </row>
    <row r="299" spans="1:11" ht="12.75">
      <c r="A299" s="375"/>
      <c r="B299" s="375"/>
      <c r="C299" s="375"/>
      <c r="D299" s="375"/>
      <c r="E299" s="375"/>
      <c r="F299" s="375"/>
      <c r="G299" s="375"/>
      <c r="H299" s="375"/>
      <c r="I299" s="375"/>
      <c r="J299" s="375"/>
      <c r="K299" s="375"/>
    </row>
    <row r="300" spans="1:11" ht="12.75">
      <c r="A300" s="375"/>
      <c r="B300" s="375"/>
      <c r="C300" s="375"/>
      <c r="D300" s="375"/>
      <c r="E300" s="375"/>
      <c r="F300" s="375"/>
      <c r="G300" s="375"/>
      <c r="H300" s="375"/>
      <c r="I300" s="375"/>
      <c r="J300" s="375"/>
      <c r="K300" s="375"/>
    </row>
    <row r="301" spans="1:11" ht="12.75">
      <c r="A301" s="375"/>
      <c r="B301" s="375"/>
      <c r="C301" s="375"/>
      <c r="D301" s="375"/>
      <c r="E301" s="375"/>
      <c r="F301" s="375"/>
      <c r="G301" s="375"/>
      <c r="H301" s="375"/>
      <c r="I301" s="375"/>
      <c r="J301" s="375"/>
      <c r="K301" s="375"/>
    </row>
    <row r="302" spans="1:11" ht="12.75">
      <c r="A302" s="375"/>
      <c r="B302" s="375"/>
      <c r="C302" s="375"/>
      <c r="D302" s="375"/>
      <c r="E302" s="375"/>
      <c r="F302" s="375"/>
      <c r="G302" s="375"/>
      <c r="H302" s="375"/>
      <c r="I302" s="375"/>
      <c r="J302" s="375"/>
      <c r="K302" s="375"/>
    </row>
    <row r="303" spans="1:11" ht="12.75">
      <c r="A303" s="375"/>
      <c r="B303" s="375"/>
      <c r="C303" s="375"/>
      <c r="D303" s="375"/>
      <c r="E303" s="375"/>
      <c r="F303" s="375"/>
      <c r="G303" s="375"/>
      <c r="H303" s="375"/>
      <c r="I303" s="375"/>
      <c r="J303" s="375"/>
      <c r="K303" s="375"/>
    </row>
    <row r="304" spans="1:11" ht="12.75">
      <c r="A304" s="375"/>
      <c r="B304" s="375"/>
      <c r="C304" s="375"/>
      <c r="D304" s="375"/>
      <c r="E304" s="375"/>
      <c r="F304" s="375"/>
      <c r="G304" s="375"/>
      <c r="H304" s="375"/>
      <c r="I304" s="375"/>
      <c r="J304" s="375"/>
      <c r="K304" s="375"/>
    </row>
    <row r="305" spans="1:11" ht="12.75">
      <c r="A305" s="375"/>
      <c r="B305" s="375"/>
      <c r="C305" s="375"/>
      <c r="D305" s="375"/>
      <c r="E305" s="375"/>
      <c r="F305" s="375"/>
      <c r="G305" s="375"/>
      <c r="H305" s="375"/>
      <c r="I305" s="375"/>
      <c r="J305" s="375"/>
      <c r="K305" s="375"/>
    </row>
    <row r="306" spans="1:11" ht="12.75">
      <c r="A306" s="375"/>
      <c r="B306" s="375"/>
      <c r="C306" s="375"/>
      <c r="D306" s="375"/>
      <c r="E306" s="375"/>
      <c r="F306" s="375"/>
      <c r="G306" s="375"/>
      <c r="H306" s="375"/>
      <c r="I306" s="375"/>
      <c r="J306" s="375"/>
      <c r="K306" s="375"/>
    </row>
    <row r="307" spans="1:11" ht="12.75">
      <c r="A307" s="375"/>
      <c r="B307" s="375"/>
      <c r="C307" s="375"/>
      <c r="D307" s="375"/>
      <c r="E307" s="375"/>
      <c r="F307" s="375"/>
      <c r="G307" s="375"/>
      <c r="H307" s="375"/>
      <c r="I307" s="375"/>
      <c r="J307" s="375"/>
      <c r="K307" s="375"/>
    </row>
    <row r="308" spans="1:11" ht="12.75">
      <c r="A308" s="375"/>
      <c r="B308" s="375"/>
      <c r="C308" s="375"/>
      <c r="D308" s="375"/>
      <c r="E308" s="375"/>
      <c r="F308" s="375"/>
      <c r="G308" s="375"/>
      <c r="H308" s="375"/>
      <c r="I308" s="375"/>
      <c r="J308" s="375"/>
      <c r="K308" s="375"/>
    </row>
    <row r="309" spans="1:11" ht="12.75">
      <c r="A309" s="375"/>
      <c r="B309" s="375"/>
      <c r="C309" s="375"/>
      <c r="D309" s="375"/>
      <c r="E309" s="375"/>
      <c r="F309" s="375"/>
      <c r="G309" s="375"/>
      <c r="H309" s="375"/>
      <c r="I309" s="375"/>
      <c r="J309" s="375"/>
      <c r="K309" s="375"/>
    </row>
    <row r="310" spans="1:11" ht="12.75">
      <c r="A310" s="375"/>
      <c r="B310" s="375"/>
      <c r="C310" s="375"/>
      <c r="D310" s="375"/>
      <c r="E310" s="375"/>
      <c r="F310" s="375"/>
      <c r="G310" s="375"/>
      <c r="H310" s="375"/>
      <c r="I310" s="375"/>
      <c r="J310" s="375"/>
      <c r="K310" s="375"/>
    </row>
    <row r="311" spans="1:11" ht="12.75">
      <c r="A311" s="375"/>
      <c r="B311" s="375"/>
      <c r="C311" s="375"/>
      <c r="D311" s="375"/>
      <c r="E311" s="375"/>
      <c r="F311" s="375"/>
      <c r="G311" s="375"/>
      <c r="H311" s="375"/>
      <c r="I311" s="375"/>
      <c r="J311" s="375"/>
      <c r="K311" s="375"/>
    </row>
    <row r="312" spans="1:11" ht="12.75">
      <c r="A312" s="375"/>
      <c r="B312" s="375"/>
      <c r="C312" s="375"/>
      <c r="D312" s="375"/>
      <c r="E312" s="375"/>
      <c r="F312" s="375"/>
      <c r="G312" s="375"/>
      <c r="H312" s="375"/>
      <c r="I312" s="375"/>
      <c r="J312" s="375"/>
      <c r="K312" s="375"/>
    </row>
    <row r="313" spans="1:11" ht="12.75">
      <c r="A313" s="375"/>
      <c r="B313" s="375"/>
      <c r="C313" s="375"/>
      <c r="D313" s="375"/>
      <c r="E313" s="375"/>
      <c r="F313" s="375"/>
      <c r="G313" s="375"/>
      <c r="H313" s="375"/>
      <c r="I313" s="375"/>
      <c r="J313" s="375"/>
      <c r="K313" s="375"/>
    </row>
    <row r="314" spans="1:11" ht="12.75">
      <c r="A314" s="375"/>
      <c r="B314" s="375"/>
      <c r="C314" s="375"/>
      <c r="D314" s="375"/>
      <c r="E314" s="375"/>
      <c r="F314" s="375"/>
      <c r="G314" s="375"/>
      <c r="H314" s="375"/>
      <c r="I314" s="375"/>
      <c r="J314" s="375"/>
      <c r="K314" s="375"/>
    </row>
    <row r="315" spans="1:11" ht="12.75">
      <c r="A315" s="375"/>
      <c r="B315" s="375"/>
      <c r="C315" s="375"/>
      <c r="D315" s="375"/>
      <c r="E315" s="375"/>
      <c r="F315" s="375"/>
      <c r="G315" s="375"/>
      <c r="H315" s="375"/>
      <c r="I315" s="375"/>
      <c r="J315" s="375"/>
      <c r="K315" s="375"/>
    </row>
    <row r="316" spans="1:11" ht="12.75">
      <c r="A316" s="375"/>
      <c r="B316" s="375"/>
      <c r="C316" s="375"/>
      <c r="D316" s="375"/>
      <c r="E316" s="375"/>
      <c r="F316" s="375"/>
      <c r="G316" s="375"/>
      <c r="H316" s="375"/>
      <c r="I316" s="375"/>
      <c r="J316" s="375"/>
      <c r="K316" s="375"/>
    </row>
    <row r="317" spans="1:11" ht="12.75">
      <c r="A317" s="375"/>
      <c r="B317" s="375"/>
      <c r="C317" s="375"/>
      <c r="D317" s="375"/>
      <c r="E317" s="375"/>
      <c r="F317" s="375"/>
      <c r="G317" s="375"/>
      <c r="H317" s="375"/>
      <c r="I317" s="375"/>
      <c r="J317" s="375"/>
      <c r="K317" s="375"/>
    </row>
    <row r="318" spans="1:11" ht="12.75">
      <c r="A318" s="375"/>
      <c r="B318" s="375"/>
      <c r="C318" s="375"/>
      <c r="D318" s="375"/>
      <c r="E318" s="375"/>
      <c r="F318" s="375"/>
      <c r="G318" s="375"/>
      <c r="H318" s="375"/>
      <c r="I318" s="375"/>
      <c r="J318" s="375"/>
      <c r="K318" s="375"/>
    </row>
    <row r="319" spans="1:11" ht="12.75">
      <c r="A319" s="375"/>
      <c r="B319" s="375"/>
      <c r="C319" s="375"/>
      <c r="D319" s="375"/>
      <c r="E319" s="375"/>
      <c r="F319" s="375"/>
      <c r="G319" s="375"/>
      <c r="H319" s="375"/>
      <c r="I319" s="375"/>
      <c r="J319" s="375"/>
      <c r="K319" s="375"/>
    </row>
    <row r="320" spans="1:11" ht="12.75">
      <c r="A320" s="375"/>
      <c r="B320" s="375"/>
      <c r="C320" s="375"/>
      <c r="D320" s="375"/>
      <c r="E320" s="375"/>
      <c r="F320" s="375"/>
      <c r="G320" s="375"/>
      <c r="H320" s="375"/>
      <c r="I320" s="375"/>
      <c r="J320" s="375"/>
      <c r="K320" s="375"/>
    </row>
    <row r="321" spans="1:11" ht="12.75">
      <c r="A321" s="375"/>
      <c r="B321" s="375"/>
      <c r="C321" s="375"/>
      <c r="D321" s="375"/>
      <c r="E321" s="375"/>
      <c r="F321" s="375"/>
      <c r="G321" s="375"/>
      <c r="H321" s="375"/>
      <c r="I321" s="375"/>
      <c r="J321" s="375"/>
      <c r="K321" s="375"/>
    </row>
    <row r="322" spans="1:11" ht="12.75">
      <c r="A322" s="375"/>
      <c r="B322" s="375"/>
      <c r="C322" s="375"/>
      <c r="D322" s="375"/>
      <c r="E322" s="375"/>
      <c r="F322" s="375"/>
      <c r="G322" s="375"/>
      <c r="H322" s="375"/>
      <c r="I322" s="375"/>
      <c r="J322" s="375"/>
      <c r="K322" s="375"/>
    </row>
    <row r="323" spans="1:11" ht="12.75">
      <c r="A323" s="375"/>
      <c r="B323" s="375"/>
      <c r="C323" s="375"/>
      <c r="D323" s="375"/>
      <c r="E323" s="375"/>
      <c r="F323" s="375"/>
      <c r="G323" s="375"/>
      <c r="H323" s="375"/>
      <c r="I323" s="375"/>
      <c r="J323" s="375"/>
      <c r="K323" s="375"/>
    </row>
    <row r="324" spans="1:11" ht="12.75">
      <c r="A324" s="375"/>
      <c r="B324" s="375"/>
      <c r="C324" s="375"/>
      <c r="D324" s="375"/>
      <c r="E324" s="375"/>
      <c r="F324" s="375"/>
      <c r="G324" s="375"/>
      <c r="H324" s="375"/>
      <c r="I324" s="375"/>
      <c r="J324" s="375"/>
      <c r="K324" s="375"/>
    </row>
    <row r="325" spans="1:11" ht="12.75">
      <c r="A325" s="375"/>
      <c r="B325" s="375"/>
      <c r="C325" s="375"/>
      <c r="D325" s="375"/>
      <c r="E325" s="375"/>
      <c r="F325" s="375"/>
      <c r="G325" s="375"/>
      <c r="H325" s="375"/>
      <c r="I325" s="375"/>
      <c r="J325" s="375"/>
      <c r="K325" s="375"/>
    </row>
    <row r="326" spans="1:11" ht="12.75">
      <c r="A326" s="375"/>
      <c r="B326" s="375"/>
      <c r="C326" s="375"/>
      <c r="D326" s="375"/>
      <c r="E326" s="375"/>
      <c r="F326" s="375"/>
      <c r="G326" s="375"/>
      <c r="H326" s="375"/>
      <c r="I326" s="375"/>
      <c r="J326" s="375"/>
      <c r="K326" s="375"/>
    </row>
    <row r="327" spans="1:11" ht="12.75">
      <c r="A327" s="375"/>
      <c r="B327" s="375"/>
      <c r="C327" s="375"/>
      <c r="D327" s="375"/>
      <c r="E327" s="375"/>
      <c r="F327" s="375"/>
      <c r="G327" s="375"/>
      <c r="H327" s="375"/>
      <c r="I327" s="375"/>
      <c r="J327" s="375"/>
      <c r="K327" s="375"/>
    </row>
    <row r="328" spans="1:11" ht="12.75">
      <c r="A328" s="375"/>
      <c r="B328" s="375"/>
      <c r="C328" s="375"/>
      <c r="D328" s="375"/>
      <c r="E328" s="375"/>
      <c r="F328" s="375"/>
      <c r="G328" s="375"/>
      <c r="H328" s="375"/>
      <c r="I328" s="375"/>
      <c r="J328" s="375"/>
      <c r="K328" s="375"/>
    </row>
    <row r="329" spans="1:11" ht="12.75">
      <c r="A329" s="375"/>
      <c r="B329" s="375"/>
      <c r="C329" s="375"/>
      <c r="D329" s="375"/>
      <c r="E329" s="375"/>
      <c r="F329" s="375"/>
      <c r="G329" s="375"/>
      <c r="H329" s="375"/>
      <c r="I329" s="375"/>
      <c r="J329" s="375"/>
      <c r="K329" s="375"/>
    </row>
    <row r="330" spans="1:11" ht="12.75">
      <c r="A330" s="375"/>
      <c r="B330" s="375"/>
      <c r="C330" s="375"/>
      <c r="D330" s="375"/>
      <c r="E330" s="375"/>
      <c r="F330" s="375"/>
      <c r="G330" s="375"/>
      <c r="H330" s="375"/>
      <c r="I330" s="375"/>
      <c r="J330" s="375"/>
      <c r="K330" s="375"/>
    </row>
    <row r="331" spans="1:11" ht="12.75">
      <c r="A331" s="375"/>
      <c r="B331" s="375"/>
      <c r="C331" s="375"/>
      <c r="D331" s="375"/>
      <c r="E331" s="375"/>
      <c r="F331" s="375"/>
      <c r="G331" s="375"/>
      <c r="H331" s="375"/>
      <c r="I331" s="375"/>
      <c r="J331" s="375"/>
      <c r="K331" s="375"/>
    </row>
    <row r="332" spans="1:11" ht="12.75">
      <c r="A332" s="375"/>
      <c r="B332" s="375"/>
      <c r="C332" s="375"/>
      <c r="D332" s="375"/>
      <c r="E332" s="375"/>
      <c r="F332" s="375"/>
      <c r="G332" s="375"/>
      <c r="H332" s="375"/>
      <c r="I332" s="375"/>
      <c r="J332" s="375"/>
      <c r="K332" s="375"/>
    </row>
    <row r="333" spans="1:11" ht="12.75">
      <c r="A333" s="375"/>
      <c r="B333" s="375"/>
      <c r="C333" s="375"/>
      <c r="D333" s="375"/>
      <c r="E333" s="375"/>
      <c r="F333" s="375"/>
      <c r="G333" s="375"/>
      <c r="H333" s="375"/>
      <c r="I333" s="375"/>
      <c r="J333" s="375"/>
      <c r="K333" s="375"/>
    </row>
    <row r="334" spans="1:11" ht="12.75">
      <c r="A334" s="375"/>
      <c r="B334" s="375"/>
      <c r="C334" s="375"/>
      <c r="D334" s="375"/>
      <c r="E334" s="375"/>
      <c r="F334" s="375"/>
      <c r="G334" s="375"/>
      <c r="H334" s="375"/>
      <c r="I334" s="375"/>
      <c r="J334" s="375"/>
      <c r="K334" s="375"/>
    </row>
    <row r="335" spans="1:11" ht="12.75">
      <c r="A335" s="375"/>
      <c r="B335" s="375"/>
      <c r="C335" s="375"/>
      <c r="D335" s="375"/>
      <c r="E335" s="375"/>
      <c r="F335" s="375"/>
      <c r="G335" s="375"/>
      <c r="H335" s="375"/>
      <c r="I335" s="375"/>
      <c r="J335" s="375"/>
      <c r="K335" s="375"/>
    </row>
    <row r="336" spans="1:11" ht="12.75">
      <c r="A336" s="375"/>
      <c r="B336" s="375"/>
      <c r="C336" s="375"/>
      <c r="D336" s="375"/>
      <c r="E336" s="375"/>
      <c r="F336" s="375"/>
      <c r="G336" s="375"/>
      <c r="H336" s="375"/>
      <c r="I336" s="375"/>
      <c r="J336" s="375"/>
      <c r="K336" s="375"/>
    </row>
    <row r="337" spans="1:11" ht="12.75">
      <c r="A337" s="375"/>
      <c r="B337" s="375"/>
      <c r="C337" s="375"/>
      <c r="D337" s="375"/>
      <c r="E337" s="375"/>
      <c r="F337" s="375"/>
      <c r="G337" s="375"/>
      <c r="H337" s="375"/>
      <c r="I337" s="375"/>
      <c r="J337" s="375"/>
      <c r="K337" s="375"/>
    </row>
    <row r="338" spans="1:11" ht="12.75">
      <c r="A338" s="375"/>
      <c r="B338" s="375"/>
      <c r="C338" s="375"/>
      <c r="D338" s="375"/>
      <c r="E338" s="375"/>
      <c r="F338" s="375"/>
      <c r="G338" s="375"/>
      <c r="H338" s="375"/>
      <c r="I338" s="375"/>
      <c r="J338" s="375"/>
      <c r="K338" s="375"/>
    </row>
    <row r="339" spans="1:11" ht="12.75">
      <c r="A339" s="375"/>
      <c r="B339" s="375"/>
      <c r="C339" s="375"/>
      <c r="D339" s="375"/>
      <c r="E339" s="375"/>
      <c r="F339" s="375"/>
      <c r="G339" s="375"/>
      <c r="H339" s="375"/>
      <c r="I339" s="375"/>
      <c r="J339" s="375"/>
      <c r="K339" s="375"/>
    </row>
    <row r="340" spans="1:11" ht="12.75">
      <c r="A340" s="375"/>
      <c r="B340" s="375"/>
      <c r="C340" s="375"/>
      <c r="D340" s="375"/>
      <c r="E340" s="375"/>
      <c r="F340" s="375"/>
      <c r="G340" s="375"/>
      <c r="H340" s="375"/>
      <c r="I340" s="375"/>
      <c r="J340" s="375"/>
      <c r="K340" s="375"/>
    </row>
    <row r="341" spans="1:11" ht="12.75">
      <c r="A341" s="375"/>
      <c r="B341" s="375"/>
      <c r="C341" s="375"/>
      <c r="D341" s="375"/>
      <c r="E341" s="375"/>
      <c r="F341" s="375"/>
      <c r="G341" s="375"/>
      <c r="H341" s="375"/>
      <c r="I341" s="375"/>
      <c r="J341" s="375"/>
      <c r="K341" s="375"/>
    </row>
    <row r="342" spans="1:11" ht="12.75">
      <c r="A342" s="375"/>
      <c r="B342" s="375"/>
      <c r="C342" s="375"/>
      <c r="D342" s="375"/>
      <c r="E342" s="375"/>
      <c r="F342" s="375"/>
      <c r="G342" s="375"/>
      <c r="H342" s="375"/>
      <c r="I342" s="375"/>
      <c r="J342" s="375"/>
      <c r="K342" s="375"/>
    </row>
    <row r="343" spans="1:11" ht="12.75">
      <c r="A343" s="375"/>
      <c r="B343" s="375"/>
      <c r="C343" s="375"/>
      <c r="D343" s="375"/>
      <c r="E343" s="375"/>
      <c r="F343" s="375"/>
      <c r="G343" s="375"/>
      <c r="H343" s="375"/>
      <c r="I343" s="375"/>
      <c r="J343" s="375"/>
      <c r="K343" s="375"/>
    </row>
    <row r="344" spans="1:11" ht="12.75">
      <c r="A344" s="375"/>
      <c r="B344" s="375"/>
      <c r="C344" s="375"/>
      <c r="D344" s="375"/>
      <c r="E344" s="375"/>
      <c r="F344" s="375"/>
      <c r="G344" s="375"/>
      <c r="H344" s="375"/>
      <c r="I344" s="375"/>
      <c r="J344" s="375"/>
      <c r="K344" s="375"/>
    </row>
    <row r="345" spans="1:11" ht="12.75">
      <c r="A345" s="375"/>
      <c r="B345" s="375"/>
      <c r="C345" s="375"/>
      <c r="D345" s="375"/>
      <c r="E345" s="375"/>
      <c r="F345" s="375"/>
      <c r="G345" s="375"/>
      <c r="H345" s="375"/>
      <c r="I345" s="375"/>
      <c r="J345" s="375"/>
      <c r="K345" s="375"/>
    </row>
    <row r="346" spans="1:11" ht="12.75">
      <c r="A346" s="375"/>
      <c r="B346" s="375"/>
      <c r="C346" s="375"/>
      <c r="D346" s="375"/>
      <c r="E346" s="375"/>
      <c r="F346" s="375"/>
      <c r="G346" s="375"/>
      <c r="H346" s="375"/>
      <c r="I346" s="375"/>
      <c r="J346" s="375"/>
      <c r="K346" s="375"/>
    </row>
    <row r="347" spans="1:11" ht="12.75">
      <c r="A347" s="375"/>
      <c r="B347" s="375"/>
      <c r="C347" s="375"/>
      <c r="D347" s="375"/>
      <c r="E347" s="375"/>
      <c r="F347" s="375"/>
      <c r="G347" s="375"/>
      <c r="H347" s="375"/>
      <c r="I347" s="375"/>
      <c r="J347" s="375"/>
      <c r="K347" s="375"/>
    </row>
    <row r="348" spans="1:11" ht="12.75">
      <c r="A348" s="375"/>
      <c r="B348" s="375"/>
      <c r="C348" s="375"/>
      <c r="D348" s="375"/>
      <c r="E348" s="375"/>
      <c r="F348" s="375"/>
      <c r="G348" s="375"/>
      <c r="H348" s="375"/>
      <c r="I348" s="375"/>
      <c r="J348" s="375"/>
      <c r="K348" s="375"/>
    </row>
    <row r="349" spans="1:11" ht="12.75">
      <c r="A349" s="375"/>
      <c r="B349" s="375"/>
      <c r="C349" s="375"/>
      <c r="D349" s="375"/>
      <c r="E349" s="375"/>
      <c r="F349" s="375"/>
      <c r="G349" s="375"/>
      <c r="H349" s="375"/>
      <c r="I349" s="375"/>
      <c r="J349" s="375"/>
      <c r="K349" s="375"/>
    </row>
    <row r="350" spans="1:11" ht="12.75">
      <c r="A350" s="375"/>
      <c r="B350" s="375"/>
      <c r="C350" s="375"/>
      <c r="D350" s="375"/>
      <c r="E350" s="375"/>
      <c r="F350" s="375"/>
      <c r="G350" s="375"/>
      <c r="H350" s="375"/>
      <c r="I350" s="375"/>
      <c r="J350" s="375"/>
      <c r="K350" s="375"/>
    </row>
    <row r="351" spans="1:11" ht="12.75">
      <c r="A351" s="375"/>
      <c r="B351" s="375"/>
      <c r="C351" s="375"/>
      <c r="D351" s="375"/>
      <c r="E351" s="375"/>
      <c r="F351" s="375"/>
      <c r="G351" s="375"/>
      <c r="H351" s="375"/>
      <c r="I351" s="375"/>
      <c r="J351" s="375"/>
      <c r="K351" s="375"/>
    </row>
    <row r="352" spans="1:11" ht="12.75">
      <c r="A352" s="375"/>
      <c r="B352" s="375"/>
      <c r="C352" s="375"/>
      <c r="D352" s="375"/>
      <c r="E352" s="375"/>
      <c r="F352" s="375"/>
      <c r="G352" s="375"/>
      <c r="H352" s="375"/>
      <c r="I352" s="375"/>
      <c r="J352" s="375"/>
      <c r="K352" s="375"/>
    </row>
    <row r="353" spans="1:11" ht="12.75">
      <c r="A353" s="375"/>
      <c r="B353" s="375"/>
      <c r="C353" s="375"/>
      <c r="D353" s="375"/>
      <c r="E353" s="375"/>
      <c r="F353" s="375"/>
      <c r="G353" s="375"/>
      <c r="H353" s="375"/>
      <c r="I353" s="375"/>
      <c r="J353" s="375"/>
      <c r="K353" s="375"/>
    </row>
    <row r="354" spans="1:11" ht="12.75">
      <c r="A354" s="375"/>
      <c r="B354" s="375"/>
      <c r="C354" s="375"/>
      <c r="D354" s="375"/>
      <c r="E354" s="375"/>
      <c r="F354" s="375"/>
      <c r="G354" s="375"/>
      <c r="H354" s="375"/>
      <c r="I354" s="375"/>
      <c r="J354" s="375"/>
      <c r="K354" s="375"/>
    </row>
    <row r="355" spans="1:11" ht="12.75">
      <c r="A355" s="375"/>
      <c r="B355" s="375"/>
      <c r="C355" s="375"/>
      <c r="D355" s="375"/>
      <c r="E355" s="375"/>
      <c r="F355" s="375"/>
      <c r="G355" s="375"/>
      <c r="H355" s="375"/>
      <c r="I355" s="375"/>
      <c r="J355" s="375"/>
      <c r="K355" s="375"/>
    </row>
    <row r="356" spans="1:11" ht="12.75">
      <c r="A356" s="375"/>
      <c r="B356" s="375"/>
      <c r="C356" s="375"/>
      <c r="D356" s="375"/>
      <c r="E356" s="375"/>
      <c r="F356" s="375"/>
      <c r="G356" s="375"/>
      <c r="H356" s="375"/>
      <c r="I356" s="375"/>
      <c r="J356" s="375"/>
      <c r="K356" s="375"/>
    </row>
    <row r="357" spans="1:11" ht="12.75">
      <c r="A357" s="375"/>
      <c r="B357" s="375"/>
      <c r="C357" s="375"/>
      <c r="D357" s="375"/>
      <c r="E357" s="375"/>
      <c r="F357" s="375"/>
      <c r="G357" s="375"/>
      <c r="H357" s="375"/>
      <c r="I357" s="375"/>
      <c r="J357" s="375"/>
      <c r="K357" s="375"/>
    </row>
    <row r="358" spans="1:11" ht="12.75">
      <c r="A358" s="375"/>
      <c r="B358" s="375"/>
      <c r="C358" s="375"/>
      <c r="D358" s="375"/>
      <c r="E358" s="375"/>
      <c r="F358" s="375"/>
      <c r="G358" s="375"/>
      <c r="H358" s="375"/>
      <c r="I358" s="375"/>
      <c r="J358" s="375"/>
      <c r="K358" s="375"/>
    </row>
    <row r="359" spans="1:11" ht="12.75">
      <c r="A359" s="375"/>
      <c r="B359" s="375"/>
      <c r="C359" s="375"/>
      <c r="D359" s="375"/>
      <c r="E359" s="375"/>
      <c r="F359" s="375"/>
      <c r="G359" s="375"/>
      <c r="H359" s="375"/>
      <c r="I359" s="375"/>
      <c r="J359" s="375"/>
      <c r="K359" s="375"/>
    </row>
    <row r="360" spans="1:11" ht="12.75">
      <c r="A360" s="375"/>
      <c r="B360" s="375"/>
      <c r="C360" s="375"/>
      <c r="D360" s="375"/>
      <c r="E360" s="375"/>
      <c r="F360" s="375"/>
      <c r="G360" s="375"/>
      <c r="H360" s="375"/>
      <c r="I360" s="375"/>
      <c r="J360" s="375"/>
      <c r="K360" s="375"/>
    </row>
    <row r="361" spans="1:11" ht="12.75">
      <c r="A361" s="375"/>
      <c r="B361" s="375"/>
      <c r="C361" s="375"/>
      <c r="D361" s="375"/>
      <c r="E361" s="375"/>
      <c r="F361" s="375"/>
      <c r="G361" s="375"/>
      <c r="H361" s="375"/>
      <c r="I361" s="375"/>
      <c r="J361" s="375"/>
      <c r="K361" s="375"/>
    </row>
    <row r="362" spans="1:11" ht="12.75">
      <c r="A362" s="375"/>
      <c r="B362" s="375"/>
      <c r="C362" s="375"/>
      <c r="D362" s="375"/>
      <c r="E362" s="375"/>
      <c r="F362" s="375"/>
      <c r="G362" s="375"/>
      <c r="H362" s="375"/>
      <c r="I362" s="375"/>
      <c r="J362" s="375"/>
      <c r="K362" s="375"/>
    </row>
    <row r="363" spans="1:11" ht="12.75">
      <c r="A363" s="375"/>
      <c r="B363" s="375"/>
      <c r="C363" s="375"/>
      <c r="D363" s="375"/>
      <c r="E363" s="375"/>
      <c r="F363" s="375"/>
      <c r="G363" s="375"/>
      <c r="H363" s="375"/>
      <c r="I363" s="375"/>
      <c r="J363" s="375"/>
      <c r="K363" s="375"/>
    </row>
    <row r="364" spans="1:11" ht="12.75">
      <c r="A364" s="375"/>
      <c r="B364" s="375"/>
      <c r="C364" s="375"/>
      <c r="D364" s="375"/>
      <c r="E364" s="375"/>
      <c r="F364" s="375"/>
      <c r="G364" s="375"/>
      <c r="H364" s="375"/>
      <c r="I364" s="375"/>
      <c r="J364" s="375"/>
      <c r="K364" s="375"/>
    </row>
    <row r="365" spans="1:11" ht="12.75">
      <c r="A365" s="375"/>
      <c r="B365" s="375"/>
      <c r="C365" s="375"/>
      <c r="D365" s="375"/>
      <c r="E365" s="375"/>
      <c r="F365" s="375"/>
      <c r="G365" s="375"/>
      <c r="H365" s="375"/>
      <c r="I365" s="375"/>
      <c r="J365" s="375"/>
      <c r="K365" s="375"/>
    </row>
    <row r="366" spans="1:11" ht="12.75">
      <c r="A366" s="375"/>
      <c r="B366" s="375"/>
      <c r="C366" s="375"/>
      <c r="D366" s="375"/>
      <c r="E366" s="375"/>
      <c r="F366" s="375"/>
      <c r="G366" s="375"/>
      <c r="H366" s="375"/>
      <c r="I366" s="375"/>
      <c r="J366" s="375"/>
      <c r="K366" s="375"/>
    </row>
    <row r="367" spans="1:11" ht="12.75">
      <c r="A367" s="375"/>
      <c r="B367" s="375"/>
      <c r="C367" s="375"/>
      <c r="D367" s="375"/>
      <c r="E367" s="375"/>
      <c r="F367" s="375"/>
      <c r="G367" s="375"/>
      <c r="H367" s="375"/>
      <c r="I367" s="375"/>
      <c r="J367" s="375"/>
      <c r="K367" s="375"/>
    </row>
    <row r="368" spans="1:11" ht="12.75">
      <c r="A368" s="375"/>
      <c r="B368" s="375"/>
      <c r="C368" s="375"/>
      <c r="D368" s="375"/>
      <c r="E368" s="375"/>
      <c r="F368" s="375"/>
      <c r="G368" s="375"/>
      <c r="H368" s="375"/>
      <c r="I368" s="375"/>
      <c r="J368" s="375"/>
      <c r="K368" s="375"/>
    </row>
    <row r="369" spans="1:11" ht="12.75">
      <c r="A369" s="375"/>
      <c r="B369" s="375"/>
      <c r="C369" s="375"/>
      <c r="D369" s="375"/>
      <c r="E369" s="375"/>
      <c r="F369" s="375"/>
      <c r="G369" s="375"/>
      <c r="H369" s="375"/>
      <c r="I369" s="375"/>
      <c r="J369" s="375"/>
      <c r="K369" s="375"/>
    </row>
    <row r="370" spans="1:11" ht="12.75">
      <c r="A370" s="375"/>
      <c r="B370" s="375"/>
      <c r="C370" s="375"/>
      <c r="D370" s="375"/>
      <c r="E370" s="375"/>
      <c r="F370" s="375"/>
      <c r="G370" s="375"/>
      <c r="H370" s="375"/>
      <c r="I370" s="375"/>
      <c r="J370" s="375"/>
      <c r="K370" s="375"/>
    </row>
    <row r="371" spans="1:11" ht="12.75">
      <c r="A371" s="375"/>
      <c r="B371" s="375"/>
      <c r="C371" s="375"/>
      <c r="D371" s="375"/>
      <c r="E371" s="375"/>
      <c r="F371" s="375"/>
      <c r="G371" s="375"/>
      <c r="H371" s="375"/>
      <c r="I371" s="375"/>
      <c r="J371" s="375"/>
      <c r="K371" s="375"/>
    </row>
    <row r="372" spans="1:11" ht="12.75">
      <c r="A372" s="375"/>
      <c r="B372" s="375"/>
      <c r="C372" s="375"/>
      <c r="D372" s="375"/>
      <c r="E372" s="375"/>
      <c r="F372" s="375"/>
      <c r="G372" s="375"/>
      <c r="H372" s="375"/>
      <c r="I372" s="375"/>
      <c r="J372" s="375"/>
      <c r="K372" s="375"/>
    </row>
    <row r="373" spans="1:11" ht="12.75">
      <c r="A373" s="375"/>
      <c r="B373" s="375"/>
      <c r="C373" s="375"/>
      <c r="D373" s="375"/>
      <c r="E373" s="375"/>
      <c r="F373" s="375"/>
      <c r="G373" s="375"/>
      <c r="H373" s="375"/>
      <c r="I373" s="375"/>
      <c r="J373" s="375"/>
      <c r="K373" s="375"/>
    </row>
    <row r="374" spans="1:11" ht="12.75">
      <c r="A374" s="375"/>
      <c r="B374" s="375"/>
      <c r="C374" s="375"/>
      <c r="D374" s="375"/>
      <c r="E374" s="375"/>
      <c r="F374" s="375"/>
      <c r="G374" s="375"/>
      <c r="H374" s="375"/>
      <c r="I374" s="375"/>
      <c r="J374" s="375"/>
      <c r="K374" s="375"/>
    </row>
    <row r="375" spans="1:11" ht="12.75">
      <c r="A375" s="375"/>
      <c r="B375" s="375"/>
      <c r="C375" s="375"/>
      <c r="D375" s="375"/>
      <c r="E375" s="375"/>
      <c r="F375" s="375"/>
      <c r="G375" s="375"/>
      <c r="H375" s="375"/>
      <c r="I375" s="375"/>
      <c r="J375" s="375"/>
      <c r="K375" s="375"/>
    </row>
    <row r="376" spans="1:11" ht="12.75">
      <c r="A376" s="375"/>
      <c r="B376" s="375"/>
      <c r="C376" s="375"/>
      <c r="D376" s="375"/>
      <c r="E376" s="375"/>
      <c r="F376" s="375"/>
      <c r="G376" s="375"/>
      <c r="H376" s="375"/>
      <c r="I376" s="375"/>
      <c r="J376" s="375"/>
      <c r="K376" s="375"/>
    </row>
    <row r="377" spans="1:11" ht="12.75">
      <c r="A377" s="375"/>
      <c r="B377" s="375"/>
      <c r="C377" s="375"/>
      <c r="D377" s="375"/>
      <c r="E377" s="375"/>
      <c r="F377" s="375"/>
      <c r="G377" s="375"/>
      <c r="H377" s="375"/>
      <c r="I377" s="375"/>
      <c r="J377" s="375"/>
      <c r="K377" s="375"/>
    </row>
    <row r="378" spans="1:11" ht="12.75">
      <c r="A378" s="375"/>
      <c r="B378" s="375"/>
      <c r="C378" s="375"/>
      <c r="D378" s="375"/>
      <c r="E378" s="375"/>
      <c r="F378" s="375"/>
      <c r="G378" s="375"/>
      <c r="H378" s="375"/>
      <c r="I378" s="375"/>
      <c r="J378" s="375"/>
      <c r="K378" s="375"/>
    </row>
    <row r="379" spans="1:11" ht="12.75">
      <c r="A379" s="375"/>
      <c r="B379" s="375"/>
      <c r="C379" s="375"/>
      <c r="D379" s="375"/>
      <c r="E379" s="375"/>
      <c r="F379" s="375"/>
      <c r="G379" s="375"/>
      <c r="H379" s="375"/>
      <c r="I379" s="375"/>
      <c r="J379" s="375"/>
      <c r="K379" s="375"/>
    </row>
    <row r="380" spans="1:11" ht="12.75">
      <c r="A380" s="375"/>
      <c r="B380" s="375"/>
      <c r="C380" s="375"/>
      <c r="D380" s="375"/>
      <c r="E380" s="375"/>
      <c r="F380" s="375"/>
      <c r="G380" s="375"/>
      <c r="H380" s="375"/>
      <c r="I380" s="375"/>
      <c r="J380" s="375"/>
      <c r="K380" s="375"/>
    </row>
    <row r="381" spans="1:11" ht="12.75">
      <c r="A381" s="375"/>
      <c r="B381" s="375"/>
      <c r="C381" s="375"/>
      <c r="D381" s="375"/>
      <c r="E381" s="375"/>
      <c r="F381" s="375"/>
      <c r="G381" s="375"/>
      <c r="H381" s="375"/>
      <c r="I381" s="375"/>
      <c r="J381" s="375"/>
      <c r="K381" s="375"/>
    </row>
    <row r="382" spans="1:11" ht="12.75">
      <c r="A382" s="375"/>
      <c r="B382" s="375"/>
      <c r="C382" s="375"/>
      <c r="D382" s="375"/>
      <c r="E382" s="375"/>
      <c r="F382" s="375"/>
      <c r="G382" s="375"/>
      <c r="H382" s="375"/>
      <c r="I382" s="375"/>
      <c r="J382" s="375"/>
      <c r="K382" s="375"/>
    </row>
    <row r="383" spans="1:11" ht="12.75">
      <c r="A383" s="375"/>
      <c r="B383" s="375"/>
      <c r="C383" s="375"/>
      <c r="D383" s="375"/>
      <c r="E383" s="375"/>
      <c r="F383" s="375"/>
      <c r="G383" s="375"/>
      <c r="H383" s="375"/>
      <c r="I383" s="375"/>
      <c r="J383" s="375"/>
      <c r="K383" s="375"/>
    </row>
    <row r="384" spans="1:11" ht="12.75">
      <c r="A384" s="375"/>
      <c r="B384" s="375"/>
      <c r="C384" s="375"/>
      <c r="D384" s="375"/>
      <c r="E384" s="375"/>
      <c r="F384" s="375"/>
      <c r="G384" s="375"/>
      <c r="H384" s="375"/>
      <c r="I384" s="375"/>
      <c r="J384" s="375"/>
      <c r="K384" s="375"/>
    </row>
    <row r="385" spans="1:11" ht="12.75">
      <c r="A385" s="375"/>
      <c r="B385" s="375"/>
      <c r="C385" s="375"/>
      <c r="D385" s="375"/>
      <c r="E385" s="375"/>
      <c r="F385" s="375"/>
      <c r="G385" s="375"/>
      <c r="H385" s="375"/>
      <c r="I385" s="375"/>
      <c r="J385" s="375"/>
      <c r="K385" s="375"/>
    </row>
    <row r="386" spans="1:11" ht="12.75">
      <c r="A386" s="375"/>
      <c r="B386" s="375"/>
      <c r="C386" s="375"/>
      <c r="D386" s="375"/>
      <c r="E386" s="375"/>
      <c r="F386" s="375"/>
      <c r="G386" s="375"/>
      <c r="H386" s="375"/>
      <c r="I386" s="375"/>
      <c r="J386" s="375"/>
      <c r="K386" s="375"/>
    </row>
    <row r="387" spans="1:11" ht="12.75">
      <c r="A387" s="375"/>
      <c r="B387" s="375"/>
      <c r="C387" s="375"/>
      <c r="D387" s="375"/>
      <c r="E387" s="375"/>
      <c r="F387" s="375"/>
      <c r="G387" s="375"/>
      <c r="H387" s="375"/>
      <c r="I387" s="375"/>
      <c r="J387" s="375"/>
      <c r="K387" s="375"/>
    </row>
    <row r="388" spans="1:11" ht="12.75">
      <c r="A388" s="375"/>
      <c r="B388" s="375"/>
      <c r="C388" s="375"/>
      <c r="D388" s="375"/>
      <c r="E388" s="375"/>
      <c r="F388" s="375"/>
      <c r="G388" s="375"/>
      <c r="H388" s="375"/>
      <c r="I388" s="375"/>
      <c r="J388" s="375"/>
      <c r="K388" s="375"/>
    </row>
    <row r="389" spans="1:11" ht="12.75">
      <c r="A389" s="375"/>
      <c r="B389" s="375"/>
      <c r="C389" s="375"/>
      <c r="D389" s="375"/>
      <c r="E389" s="375"/>
      <c r="F389" s="375"/>
      <c r="G389" s="375"/>
      <c r="H389" s="375"/>
      <c r="I389" s="375"/>
      <c r="J389" s="375"/>
      <c r="K389" s="375"/>
    </row>
    <row r="390" spans="1:11" ht="12.75">
      <c r="A390" s="375"/>
      <c r="B390" s="375"/>
      <c r="C390" s="375"/>
      <c r="D390" s="375"/>
      <c r="E390" s="375"/>
      <c r="F390" s="375"/>
      <c r="G390" s="375"/>
      <c r="H390" s="375"/>
      <c r="I390" s="375"/>
      <c r="J390" s="375"/>
      <c r="K390" s="375"/>
    </row>
    <row r="391" spans="1:11" ht="12.75">
      <c r="A391" s="375"/>
      <c r="B391" s="375"/>
      <c r="C391" s="375"/>
      <c r="D391" s="375"/>
      <c r="E391" s="375"/>
      <c r="F391" s="375"/>
      <c r="G391" s="375"/>
      <c r="H391" s="375"/>
      <c r="I391" s="375"/>
      <c r="J391" s="375"/>
      <c r="K391" s="375"/>
    </row>
    <row r="392" spans="1:11" ht="12.75">
      <c r="A392" s="375"/>
      <c r="B392" s="375"/>
      <c r="C392" s="375"/>
      <c r="D392" s="375"/>
      <c r="E392" s="375"/>
      <c r="F392" s="375"/>
      <c r="G392" s="375"/>
      <c r="H392" s="375"/>
      <c r="I392" s="375"/>
      <c r="J392" s="375"/>
      <c r="K392" s="375"/>
    </row>
    <row r="393" spans="1:11" ht="12.75">
      <c r="A393" s="375"/>
      <c r="B393" s="375"/>
      <c r="C393" s="375"/>
      <c r="D393" s="375"/>
      <c r="E393" s="375"/>
      <c r="F393" s="375"/>
      <c r="G393" s="375"/>
      <c r="H393" s="375"/>
      <c r="I393" s="375"/>
      <c r="J393" s="375"/>
      <c r="K393" s="375"/>
    </row>
    <row r="394" spans="1:11" ht="12.75">
      <c r="A394" s="375"/>
      <c r="B394" s="375"/>
      <c r="C394" s="375"/>
      <c r="D394" s="375"/>
      <c r="E394" s="375"/>
      <c r="F394" s="375"/>
      <c r="G394" s="375"/>
      <c r="H394" s="375"/>
      <c r="I394" s="375"/>
      <c r="J394" s="375"/>
      <c r="K394" s="375"/>
    </row>
    <row r="395" spans="1:11" ht="12.75">
      <c r="A395" s="375"/>
      <c r="B395" s="375"/>
      <c r="C395" s="375"/>
      <c r="D395" s="375"/>
      <c r="E395" s="375"/>
      <c r="F395" s="375"/>
      <c r="G395" s="375"/>
      <c r="H395" s="375"/>
      <c r="I395" s="375"/>
      <c r="J395" s="375"/>
      <c r="K395" s="375"/>
    </row>
    <row r="396" spans="1:11" ht="12.75">
      <c r="A396" s="375"/>
      <c r="B396" s="375"/>
      <c r="C396" s="375"/>
      <c r="D396" s="375"/>
      <c r="E396" s="375"/>
      <c r="F396" s="375"/>
      <c r="G396" s="375"/>
      <c r="H396" s="375"/>
      <c r="I396" s="375"/>
      <c r="J396" s="375"/>
      <c r="K396" s="375"/>
    </row>
    <row r="397" spans="1:11" ht="12.75">
      <c r="A397" s="375"/>
      <c r="B397" s="375"/>
      <c r="C397" s="375"/>
      <c r="D397" s="375"/>
      <c r="E397" s="375"/>
      <c r="F397" s="375"/>
      <c r="G397" s="375"/>
      <c r="H397" s="375"/>
      <c r="I397" s="375"/>
      <c r="J397" s="375"/>
      <c r="K397" s="375"/>
    </row>
    <row r="398" spans="1:11" ht="12.75">
      <c r="A398" s="375"/>
      <c r="B398" s="375"/>
      <c r="C398" s="375"/>
      <c r="D398" s="375"/>
      <c r="E398" s="375"/>
      <c r="F398" s="375"/>
      <c r="G398" s="375"/>
      <c r="H398" s="375"/>
      <c r="I398" s="375"/>
      <c r="J398" s="375"/>
      <c r="K398" s="375"/>
    </row>
    <row r="399" spans="1:11" ht="12.75">
      <c r="A399" s="375"/>
      <c r="B399" s="375"/>
      <c r="C399" s="375"/>
      <c r="D399" s="375"/>
      <c r="E399" s="375"/>
      <c r="F399" s="375"/>
      <c r="G399" s="375"/>
      <c r="H399" s="375"/>
      <c r="I399" s="375"/>
      <c r="J399" s="375"/>
      <c r="K399" s="375"/>
    </row>
    <row r="400" spans="1:11" ht="12.75">
      <c r="A400" s="375"/>
      <c r="B400" s="375"/>
      <c r="C400" s="375"/>
      <c r="D400" s="375"/>
      <c r="E400" s="375"/>
      <c r="F400" s="375"/>
      <c r="G400" s="375"/>
      <c r="H400" s="375"/>
      <c r="I400" s="375"/>
      <c r="J400" s="375"/>
      <c r="K400" s="375"/>
    </row>
    <row r="401" spans="1:11" ht="12.75">
      <c r="A401" s="375"/>
      <c r="B401" s="375"/>
      <c r="C401" s="375"/>
      <c r="D401" s="375"/>
      <c r="E401" s="375"/>
      <c r="F401" s="375"/>
      <c r="G401" s="375"/>
      <c r="H401" s="375"/>
      <c r="I401" s="375"/>
      <c r="J401" s="375"/>
      <c r="K401" s="375"/>
    </row>
    <row r="402" spans="1:11" ht="12.75">
      <c r="A402" s="375"/>
      <c r="B402" s="375"/>
      <c r="C402" s="375"/>
      <c r="D402" s="375"/>
      <c r="E402" s="375"/>
      <c r="F402" s="375"/>
      <c r="G402" s="375"/>
      <c r="H402" s="375"/>
      <c r="I402" s="375"/>
      <c r="J402" s="375"/>
      <c r="K402" s="375"/>
    </row>
    <row r="403" spans="1:11" ht="12.75">
      <c r="A403" s="375"/>
      <c r="B403" s="375"/>
      <c r="C403" s="375"/>
      <c r="D403" s="375"/>
      <c r="E403" s="375"/>
      <c r="F403" s="375"/>
      <c r="G403" s="375"/>
      <c r="H403" s="375"/>
      <c r="I403" s="375"/>
      <c r="J403" s="375"/>
      <c r="K403" s="375"/>
    </row>
    <row r="404" spans="1:11" ht="12.75">
      <c r="A404" s="375"/>
      <c r="B404" s="375"/>
      <c r="C404" s="375"/>
      <c r="D404" s="375"/>
      <c r="E404" s="375"/>
      <c r="F404" s="375"/>
      <c r="G404" s="375"/>
      <c r="H404" s="375"/>
      <c r="I404" s="375"/>
      <c r="J404" s="375"/>
      <c r="K404" s="375"/>
    </row>
    <row r="405" spans="1:11" ht="12.75">
      <c r="A405" s="375"/>
      <c r="B405" s="375"/>
      <c r="C405" s="375"/>
      <c r="D405" s="375"/>
      <c r="E405" s="375"/>
      <c r="F405" s="375"/>
      <c r="G405" s="375"/>
      <c r="H405" s="375"/>
      <c r="I405" s="375"/>
      <c r="J405" s="375"/>
      <c r="K405" s="375"/>
    </row>
    <row r="406" spans="1:11" ht="12.75">
      <c r="A406" s="375"/>
      <c r="B406" s="375"/>
      <c r="C406" s="375"/>
      <c r="D406" s="375"/>
      <c r="E406" s="375"/>
      <c r="F406" s="375"/>
      <c r="G406" s="375"/>
      <c r="H406" s="375"/>
      <c r="I406" s="375"/>
      <c r="J406" s="375"/>
      <c r="K406" s="375"/>
    </row>
    <row r="407" spans="1:11" ht="12.75">
      <c r="A407" s="375"/>
      <c r="B407" s="375"/>
      <c r="C407" s="375"/>
      <c r="D407" s="375"/>
      <c r="E407" s="375"/>
      <c r="F407" s="375"/>
      <c r="G407" s="375"/>
      <c r="H407" s="375"/>
      <c r="I407" s="375"/>
      <c r="J407" s="375"/>
      <c r="K407" s="375"/>
    </row>
    <row r="408" spans="1:11" ht="12.75">
      <c r="A408" s="375"/>
      <c r="B408" s="375"/>
      <c r="C408" s="375"/>
      <c r="D408" s="375"/>
      <c r="E408" s="375"/>
      <c r="F408" s="375"/>
      <c r="G408" s="375"/>
      <c r="H408" s="375"/>
      <c r="I408" s="375"/>
      <c r="J408" s="375"/>
      <c r="K408" s="375"/>
    </row>
    <row r="409" spans="1:11" ht="12.75">
      <c r="A409" s="375"/>
      <c r="B409" s="375"/>
      <c r="C409" s="375"/>
      <c r="D409" s="375"/>
      <c r="E409" s="375"/>
      <c r="F409" s="375"/>
      <c r="G409" s="375"/>
      <c r="H409" s="375"/>
      <c r="I409" s="375"/>
      <c r="J409" s="375"/>
      <c r="K409" s="375"/>
    </row>
    <row r="410" spans="1:11" ht="12.75">
      <c r="A410" s="375"/>
      <c r="B410" s="375"/>
      <c r="C410" s="375"/>
      <c r="D410" s="375"/>
      <c r="E410" s="375"/>
      <c r="F410" s="375"/>
      <c r="G410" s="375"/>
      <c r="H410" s="375"/>
      <c r="I410" s="375"/>
      <c r="J410" s="375"/>
      <c r="K410" s="375"/>
    </row>
    <row r="411" spans="1:11" ht="12.75">
      <c r="A411" s="375"/>
      <c r="B411" s="375"/>
      <c r="C411" s="375"/>
      <c r="D411" s="375"/>
      <c r="E411" s="375"/>
      <c r="F411" s="375"/>
      <c r="G411" s="375"/>
      <c r="H411" s="375"/>
      <c r="I411" s="375"/>
      <c r="J411" s="375"/>
      <c r="K411" s="375"/>
    </row>
    <row r="412" spans="1:11" ht="12.75">
      <c r="A412" s="375"/>
      <c r="B412" s="375"/>
      <c r="C412" s="375"/>
      <c r="D412" s="375"/>
      <c r="E412" s="375"/>
      <c r="F412" s="375"/>
      <c r="G412" s="375"/>
      <c r="H412" s="375"/>
      <c r="I412" s="375"/>
      <c r="J412" s="375"/>
      <c r="K412" s="375"/>
    </row>
    <row r="413" spans="1:11" ht="12.75">
      <c r="A413" s="375"/>
      <c r="B413" s="375"/>
      <c r="C413" s="375"/>
      <c r="D413" s="375"/>
      <c r="E413" s="375"/>
      <c r="F413" s="375"/>
      <c r="G413" s="375"/>
      <c r="H413" s="375"/>
      <c r="I413" s="375"/>
      <c r="J413" s="375"/>
      <c r="K413" s="375"/>
    </row>
    <row r="414" spans="1:11" ht="12.75">
      <c r="A414" s="375"/>
      <c r="B414" s="375"/>
      <c r="C414" s="375"/>
      <c r="D414" s="375"/>
      <c r="E414" s="375"/>
      <c r="F414" s="375"/>
      <c r="G414" s="375"/>
      <c r="H414" s="375"/>
      <c r="I414" s="375"/>
      <c r="J414" s="375"/>
      <c r="K414" s="375"/>
    </row>
    <row r="415" spans="1:11" ht="12.75">
      <c r="A415" s="375"/>
      <c r="B415" s="375"/>
      <c r="C415" s="375"/>
      <c r="D415" s="375"/>
      <c r="E415" s="375"/>
      <c r="F415" s="375"/>
      <c r="G415" s="375"/>
      <c r="H415" s="375"/>
      <c r="I415" s="375"/>
      <c r="J415" s="375"/>
      <c r="K415" s="375"/>
    </row>
    <row r="416" spans="1:11" ht="12.75">
      <c r="A416" s="375"/>
      <c r="B416" s="375"/>
      <c r="C416" s="375"/>
      <c r="D416" s="375"/>
      <c r="E416" s="375"/>
      <c r="F416" s="375"/>
      <c r="G416" s="375"/>
      <c r="H416" s="375"/>
      <c r="I416" s="375"/>
      <c r="J416" s="375"/>
      <c r="K416" s="375"/>
    </row>
    <row r="417" spans="1:11" ht="12.75">
      <c r="A417" s="375"/>
      <c r="B417" s="375"/>
      <c r="C417" s="375"/>
      <c r="D417" s="375"/>
      <c r="E417" s="375"/>
      <c r="F417" s="375"/>
      <c r="G417" s="375"/>
      <c r="H417" s="375"/>
      <c r="I417" s="375"/>
      <c r="J417" s="375"/>
      <c r="K417" s="375"/>
    </row>
    <row r="418" spans="1:11" ht="12.75">
      <c r="A418" s="375"/>
      <c r="B418" s="375"/>
      <c r="C418" s="375"/>
      <c r="D418" s="375"/>
      <c r="E418" s="375"/>
      <c r="F418" s="375"/>
      <c r="G418" s="375"/>
      <c r="H418" s="375"/>
      <c r="I418" s="375"/>
      <c r="J418" s="375"/>
      <c r="K418" s="375"/>
    </row>
    <row r="419" spans="1:11" ht="12.75">
      <c r="A419" s="375"/>
      <c r="B419" s="375"/>
      <c r="C419" s="375"/>
      <c r="D419" s="375"/>
      <c r="E419" s="375"/>
      <c r="F419" s="375"/>
      <c r="G419" s="375"/>
      <c r="H419" s="375"/>
      <c r="I419" s="375"/>
      <c r="J419" s="375"/>
      <c r="K419" s="375"/>
    </row>
    <row r="420" spans="1:11" ht="12.75">
      <c r="A420" s="375"/>
      <c r="B420" s="375"/>
      <c r="C420" s="375"/>
      <c r="D420" s="375"/>
      <c r="E420" s="375"/>
      <c r="F420" s="375"/>
      <c r="G420" s="375"/>
      <c r="H420" s="375"/>
      <c r="I420" s="375"/>
      <c r="J420" s="375"/>
      <c r="K420" s="375"/>
    </row>
    <row r="421" spans="1:11" ht="12.75">
      <c r="A421" s="375"/>
      <c r="B421" s="375"/>
      <c r="C421" s="375"/>
      <c r="D421" s="375"/>
      <c r="E421" s="375"/>
      <c r="F421" s="375"/>
      <c r="G421" s="375"/>
      <c r="H421" s="375"/>
      <c r="I421" s="375"/>
      <c r="J421" s="375"/>
      <c r="K421" s="375"/>
    </row>
    <row r="422" spans="1:11" ht="12.75">
      <c r="A422" s="375"/>
      <c r="B422" s="375"/>
      <c r="C422" s="375"/>
      <c r="D422" s="375"/>
      <c r="E422" s="375"/>
      <c r="F422" s="375"/>
      <c r="G422" s="375"/>
      <c r="H422" s="375"/>
      <c r="I422" s="375"/>
      <c r="J422" s="375"/>
      <c r="K422" s="375"/>
    </row>
    <row r="423" spans="1:11" ht="12.75">
      <c r="A423" s="375"/>
      <c r="B423" s="375"/>
      <c r="C423" s="375"/>
      <c r="D423" s="375"/>
      <c r="E423" s="375"/>
      <c r="F423" s="375"/>
      <c r="G423" s="375"/>
      <c r="H423" s="375"/>
      <c r="I423" s="375"/>
      <c r="J423" s="375"/>
      <c r="K423" s="375"/>
    </row>
    <row r="424" spans="1:11" ht="12.75">
      <c r="A424" s="375"/>
      <c r="B424" s="375"/>
      <c r="C424" s="375"/>
      <c r="D424" s="375"/>
      <c r="E424" s="375"/>
      <c r="F424" s="375"/>
      <c r="G424" s="375"/>
      <c r="H424" s="375"/>
      <c r="I424" s="375"/>
      <c r="J424" s="375"/>
      <c r="K424" s="375"/>
    </row>
    <row r="425" spans="1:11" ht="12.75">
      <c r="A425" s="375"/>
      <c r="B425" s="375"/>
      <c r="C425" s="375"/>
      <c r="D425" s="375"/>
      <c r="E425" s="375"/>
      <c r="F425" s="375"/>
      <c r="G425" s="375"/>
      <c r="H425" s="375"/>
      <c r="I425" s="375"/>
      <c r="J425" s="375"/>
      <c r="K425" s="375"/>
    </row>
    <row r="426" spans="1:11" ht="12.75">
      <c r="A426" s="375"/>
      <c r="B426" s="375"/>
      <c r="C426" s="375"/>
      <c r="D426" s="375"/>
      <c r="E426" s="375"/>
      <c r="F426" s="375"/>
      <c r="G426" s="375"/>
      <c r="H426" s="375"/>
      <c r="I426" s="375"/>
      <c r="J426" s="375"/>
      <c r="K426" s="375"/>
    </row>
    <row r="427" spans="1:11" ht="12.75">
      <c r="A427" s="375"/>
      <c r="B427" s="375"/>
      <c r="C427" s="375"/>
      <c r="D427" s="375"/>
      <c r="E427" s="375"/>
      <c r="F427" s="375"/>
      <c r="G427" s="375"/>
      <c r="H427" s="375"/>
      <c r="I427" s="375"/>
      <c r="J427" s="375"/>
      <c r="K427" s="375"/>
    </row>
    <row r="428" spans="1:11" ht="12.75">
      <c r="A428" s="375"/>
      <c r="B428" s="375"/>
      <c r="C428" s="375"/>
      <c r="D428" s="375"/>
      <c r="E428" s="375"/>
      <c r="F428" s="375"/>
      <c r="G428" s="375"/>
      <c r="H428" s="375"/>
      <c r="I428" s="375"/>
      <c r="J428" s="375"/>
      <c r="K428" s="375"/>
    </row>
    <row r="429" spans="1:11" ht="12.75">
      <c r="A429" s="375"/>
      <c r="B429" s="375"/>
      <c r="C429" s="375"/>
      <c r="D429" s="375"/>
      <c r="E429" s="375"/>
      <c r="F429" s="375"/>
      <c r="G429" s="375"/>
      <c r="H429" s="375"/>
      <c r="I429" s="375"/>
      <c r="J429" s="375"/>
      <c r="K429" s="375"/>
    </row>
    <row r="430" spans="1:11" ht="12.75">
      <c r="A430" s="375"/>
      <c r="B430" s="375"/>
      <c r="C430" s="375"/>
      <c r="D430" s="375"/>
      <c r="E430" s="375"/>
      <c r="F430" s="375"/>
      <c r="G430" s="375"/>
      <c r="H430" s="375"/>
      <c r="I430" s="375"/>
      <c r="J430" s="375"/>
      <c r="K430" s="375"/>
    </row>
    <row r="431" spans="1:11" ht="12.75">
      <c r="A431" s="375"/>
      <c r="B431" s="375"/>
      <c r="C431" s="375"/>
      <c r="D431" s="375"/>
      <c r="E431" s="375"/>
      <c r="F431" s="375"/>
      <c r="G431" s="375"/>
      <c r="H431" s="375"/>
      <c r="I431" s="375"/>
      <c r="J431" s="375"/>
      <c r="K431" s="375"/>
    </row>
    <row r="432" spans="1:11" ht="12.75">
      <c r="A432" s="375"/>
      <c r="B432" s="375"/>
      <c r="C432" s="375"/>
      <c r="D432" s="375"/>
      <c r="E432" s="375"/>
      <c r="F432" s="375"/>
      <c r="G432" s="375"/>
      <c r="H432" s="375"/>
      <c r="I432" s="375"/>
      <c r="J432" s="375"/>
      <c r="K432" s="375"/>
    </row>
    <row r="433" spans="1:11" ht="12.75">
      <c r="A433" s="375"/>
      <c r="B433" s="375"/>
      <c r="C433" s="375"/>
      <c r="D433" s="375"/>
      <c r="E433" s="375"/>
      <c r="F433" s="375"/>
      <c r="G433" s="375"/>
      <c r="H433" s="375"/>
      <c r="I433" s="375"/>
      <c r="J433" s="375"/>
      <c r="K433" s="375"/>
    </row>
    <row r="434" spans="1:11" ht="12.75">
      <c r="A434" s="375"/>
      <c r="B434" s="375"/>
      <c r="C434" s="375"/>
      <c r="D434" s="375"/>
      <c r="E434" s="375"/>
      <c r="F434" s="375"/>
      <c r="G434" s="375"/>
      <c r="H434" s="375"/>
      <c r="I434" s="375"/>
      <c r="J434" s="375"/>
      <c r="K434" s="375"/>
    </row>
    <row r="435" spans="1:11" ht="12.75">
      <c r="A435" s="375"/>
      <c r="B435" s="375"/>
      <c r="C435" s="375"/>
      <c r="D435" s="375"/>
      <c r="E435" s="375"/>
      <c r="F435" s="375"/>
      <c r="G435" s="375"/>
      <c r="H435" s="375"/>
      <c r="I435" s="375"/>
      <c r="J435" s="375"/>
      <c r="K435" s="375"/>
    </row>
    <row r="436" spans="1:11" ht="12.75">
      <c r="A436" s="375"/>
      <c r="B436" s="375"/>
      <c r="C436" s="375"/>
      <c r="D436" s="375"/>
      <c r="E436" s="375"/>
      <c r="F436" s="375"/>
      <c r="G436" s="375"/>
      <c r="H436" s="375"/>
      <c r="I436" s="375"/>
      <c r="J436" s="375"/>
      <c r="K436" s="375"/>
    </row>
    <row r="437" spans="1:11" ht="12.75">
      <c r="A437" s="375"/>
      <c r="B437" s="375"/>
      <c r="C437" s="375"/>
      <c r="D437" s="375"/>
      <c r="E437" s="375"/>
      <c r="F437" s="375"/>
      <c r="G437" s="375"/>
      <c r="H437" s="375"/>
      <c r="I437" s="375"/>
      <c r="J437" s="375"/>
      <c r="K437" s="375"/>
    </row>
    <row r="438" spans="1:11" ht="12.75">
      <c r="A438" s="375"/>
      <c r="B438" s="375"/>
      <c r="C438" s="375"/>
      <c r="D438" s="375"/>
      <c r="E438" s="375"/>
      <c r="F438" s="375"/>
      <c r="G438" s="375"/>
      <c r="H438" s="375"/>
      <c r="I438" s="375"/>
      <c r="J438" s="375"/>
      <c r="K438" s="375"/>
    </row>
    <row r="439" spans="1:11" ht="12.75">
      <c r="A439" s="375"/>
      <c r="B439" s="375"/>
      <c r="C439" s="375"/>
      <c r="D439" s="375"/>
      <c r="E439" s="375"/>
      <c r="F439" s="375"/>
      <c r="G439" s="375"/>
      <c r="H439" s="375"/>
      <c r="I439" s="375"/>
      <c r="J439" s="375"/>
      <c r="K439" s="375"/>
    </row>
    <row r="440" spans="1:11" ht="12.75">
      <c r="A440" s="375"/>
      <c r="B440" s="375"/>
      <c r="C440" s="375"/>
      <c r="D440" s="375"/>
      <c r="E440" s="375"/>
      <c r="F440" s="375"/>
      <c r="G440" s="375"/>
      <c r="H440" s="375"/>
      <c r="I440" s="375"/>
      <c r="J440" s="375"/>
      <c r="K440" s="375"/>
    </row>
    <row r="441" spans="1:11" ht="12.75">
      <c r="A441" s="375"/>
      <c r="B441" s="375"/>
      <c r="C441" s="375"/>
      <c r="D441" s="375"/>
      <c r="E441" s="375"/>
      <c r="F441" s="375"/>
      <c r="G441" s="375"/>
      <c r="H441" s="375"/>
      <c r="I441" s="375"/>
      <c r="J441" s="375"/>
      <c r="K441" s="375"/>
    </row>
    <row r="442" spans="1:11" ht="12.75">
      <c r="A442" s="375"/>
      <c r="B442" s="375"/>
      <c r="C442" s="375"/>
      <c r="D442" s="375"/>
      <c r="E442" s="375"/>
      <c r="F442" s="375"/>
      <c r="G442" s="375"/>
      <c r="H442" s="375"/>
      <c r="I442" s="375"/>
      <c r="J442" s="375"/>
      <c r="K442" s="375"/>
    </row>
    <row r="443" spans="1:11" ht="12.75">
      <c r="A443" s="375"/>
      <c r="B443" s="375"/>
      <c r="C443" s="375"/>
      <c r="D443" s="375"/>
      <c r="E443" s="375"/>
      <c r="F443" s="375"/>
      <c r="G443" s="375"/>
      <c r="H443" s="375"/>
      <c r="I443" s="375"/>
      <c r="J443" s="375"/>
      <c r="K443" s="375"/>
    </row>
    <row r="444" spans="1:11" ht="12.75">
      <c r="A444" s="375"/>
      <c r="B444" s="375"/>
      <c r="C444" s="375"/>
      <c r="D444" s="375"/>
      <c r="E444" s="375"/>
      <c r="F444" s="375"/>
      <c r="G444" s="375"/>
      <c r="H444" s="375"/>
      <c r="I444" s="375"/>
      <c r="J444" s="375"/>
      <c r="K444" s="375"/>
    </row>
    <row r="445" spans="1:11" ht="12.75">
      <c r="A445" s="375"/>
      <c r="B445" s="375"/>
      <c r="C445" s="375"/>
      <c r="D445" s="375"/>
      <c r="E445" s="375"/>
      <c r="F445" s="375"/>
      <c r="G445" s="375"/>
      <c r="H445" s="375"/>
      <c r="I445" s="375"/>
      <c r="J445" s="375"/>
      <c r="K445" s="375"/>
    </row>
    <row r="446" spans="1:11" ht="12.75">
      <c r="A446" s="375"/>
      <c r="B446" s="375"/>
      <c r="C446" s="375"/>
      <c r="D446" s="375"/>
      <c r="E446" s="375"/>
      <c r="F446" s="375"/>
      <c r="G446" s="375"/>
      <c r="H446" s="375"/>
      <c r="I446" s="375"/>
      <c r="J446" s="375"/>
      <c r="K446" s="375"/>
    </row>
    <row r="447" spans="1:11" ht="12.75">
      <c r="A447" s="375"/>
      <c r="B447" s="375"/>
      <c r="C447" s="375"/>
      <c r="D447" s="375"/>
      <c r="E447" s="375"/>
      <c r="F447" s="375"/>
      <c r="G447" s="375"/>
      <c r="H447" s="375"/>
      <c r="I447" s="375"/>
      <c r="J447" s="375"/>
      <c r="K447" s="375"/>
    </row>
    <row r="448" spans="1:11" ht="12.75">
      <c r="A448" s="375"/>
      <c r="B448" s="375"/>
      <c r="C448" s="375"/>
      <c r="D448" s="375"/>
      <c r="E448" s="375"/>
      <c r="F448" s="375"/>
      <c r="G448" s="375"/>
      <c r="H448" s="375"/>
      <c r="I448" s="375"/>
      <c r="J448" s="375"/>
      <c r="K448" s="375"/>
    </row>
    <row r="449" spans="1:11" ht="12.75">
      <c r="A449" s="375"/>
      <c r="B449" s="375"/>
      <c r="C449" s="375"/>
      <c r="D449" s="375"/>
      <c r="E449" s="375"/>
      <c r="F449" s="375"/>
      <c r="G449" s="375"/>
      <c r="H449" s="375"/>
      <c r="I449" s="375"/>
      <c r="J449" s="375"/>
      <c r="K449" s="375"/>
    </row>
    <row r="450" spans="1:11" ht="12.75">
      <c r="A450" s="375"/>
      <c r="B450" s="375"/>
      <c r="C450" s="375"/>
      <c r="D450" s="375"/>
      <c r="E450" s="375"/>
      <c r="F450" s="375"/>
      <c r="G450" s="375"/>
      <c r="H450" s="375"/>
      <c r="I450" s="375"/>
      <c r="J450" s="375"/>
      <c r="K450" s="375"/>
    </row>
    <row r="451" spans="1:11" ht="12.75">
      <c r="A451" s="375"/>
      <c r="B451" s="375"/>
      <c r="C451" s="375"/>
      <c r="D451" s="375"/>
      <c r="E451" s="375"/>
      <c r="F451" s="375"/>
      <c r="G451" s="375"/>
      <c r="H451" s="375"/>
      <c r="I451" s="375"/>
      <c r="J451" s="375"/>
      <c r="K451" s="375"/>
    </row>
    <row r="452" spans="1:11" ht="12.75">
      <c r="A452" s="375"/>
      <c r="B452" s="375"/>
      <c r="C452" s="375"/>
      <c r="D452" s="375"/>
      <c r="E452" s="375"/>
      <c r="F452" s="375"/>
      <c r="G452" s="375"/>
      <c r="H452" s="375"/>
      <c r="I452" s="375"/>
      <c r="J452" s="375"/>
      <c r="K452" s="375"/>
    </row>
    <row r="453" spans="1:11" ht="12.75">
      <c r="A453" s="375"/>
      <c r="B453" s="375"/>
      <c r="C453" s="375"/>
      <c r="D453" s="375"/>
      <c r="E453" s="375"/>
      <c r="F453" s="375"/>
      <c r="G453" s="375"/>
      <c r="H453" s="375"/>
      <c r="I453" s="375"/>
      <c r="J453" s="375"/>
      <c r="K453" s="375"/>
    </row>
    <row r="454" spans="1:11" ht="12.75">
      <c r="A454" s="375"/>
      <c r="B454" s="375"/>
      <c r="C454" s="375"/>
      <c r="D454" s="375"/>
      <c r="E454" s="375"/>
      <c r="F454" s="375"/>
      <c r="G454" s="375"/>
      <c r="H454" s="375"/>
      <c r="I454" s="375"/>
      <c r="J454" s="375"/>
      <c r="K454" s="375"/>
    </row>
    <row r="455" spans="1:11" ht="12.75">
      <c r="A455" s="375"/>
      <c r="B455" s="375"/>
      <c r="C455" s="375"/>
      <c r="D455" s="375"/>
      <c r="E455" s="375"/>
      <c r="F455" s="375"/>
      <c r="G455" s="375"/>
      <c r="H455" s="375"/>
      <c r="I455" s="375"/>
      <c r="J455" s="375"/>
      <c r="K455" s="375"/>
    </row>
    <row r="456" spans="1:11" ht="12.75">
      <c r="A456" s="375"/>
      <c r="B456" s="375"/>
      <c r="C456" s="375"/>
      <c r="D456" s="375"/>
      <c r="E456" s="375"/>
      <c r="F456" s="375"/>
      <c r="G456" s="375"/>
      <c r="H456" s="375"/>
      <c r="I456" s="375"/>
      <c r="J456" s="375"/>
      <c r="K456" s="375"/>
    </row>
    <row r="457" spans="1:11" ht="12.75">
      <c r="A457" s="375"/>
      <c r="B457" s="375"/>
      <c r="C457" s="375"/>
      <c r="D457" s="375"/>
      <c r="E457" s="375"/>
      <c r="F457" s="375"/>
      <c r="G457" s="375"/>
      <c r="H457" s="375"/>
      <c r="I457" s="375"/>
      <c r="J457" s="375"/>
      <c r="K457" s="375"/>
    </row>
    <row r="458" spans="1:11" ht="12.75">
      <c r="A458" s="375"/>
      <c r="B458" s="375"/>
      <c r="C458" s="375"/>
      <c r="D458" s="375"/>
      <c r="E458" s="375"/>
      <c r="F458" s="375"/>
      <c r="G458" s="375"/>
      <c r="H458" s="375"/>
      <c r="I458" s="375"/>
      <c r="J458" s="375"/>
      <c r="K458" s="375"/>
    </row>
    <row r="459" spans="1:11" ht="12.75">
      <c r="A459" s="375"/>
      <c r="B459" s="375"/>
      <c r="C459" s="375"/>
      <c r="D459" s="375"/>
      <c r="E459" s="375"/>
      <c r="F459" s="375"/>
      <c r="G459" s="375"/>
      <c r="H459" s="375"/>
      <c r="I459" s="375"/>
      <c r="J459" s="375"/>
      <c r="K459" s="375"/>
    </row>
    <row r="460" spans="1:11" ht="12.75">
      <c r="A460" s="375"/>
      <c r="B460" s="375"/>
      <c r="C460" s="375"/>
      <c r="D460" s="375"/>
      <c r="E460" s="375"/>
      <c r="F460" s="375"/>
      <c r="G460" s="375"/>
      <c r="H460" s="375"/>
      <c r="I460" s="375"/>
      <c r="J460" s="375"/>
      <c r="K460" s="375"/>
    </row>
    <row r="461" spans="1:11" ht="12.75">
      <c r="A461" s="375"/>
      <c r="B461" s="375"/>
      <c r="C461" s="375"/>
      <c r="D461" s="375"/>
      <c r="E461" s="375"/>
      <c r="F461" s="375"/>
      <c r="G461" s="375"/>
      <c r="H461" s="375"/>
      <c r="I461" s="375"/>
      <c r="J461" s="375"/>
      <c r="K461" s="375"/>
    </row>
    <row r="462" spans="1:11" ht="12.75">
      <c r="A462" s="375"/>
      <c r="B462" s="375"/>
      <c r="C462" s="375"/>
      <c r="D462" s="375"/>
      <c r="E462" s="375"/>
      <c r="F462" s="375"/>
      <c r="G462" s="375"/>
      <c r="H462" s="375"/>
      <c r="I462" s="375"/>
      <c r="J462" s="375"/>
      <c r="K462" s="375"/>
    </row>
    <row r="463" spans="1:11" ht="12.75">
      <c r="A463" s="375"/>
      <c r="B463" s="375"/>
      <c r="C463" s="375"/>
      <c r="D463" s="375"/>
      <c r="E463" s="375"/>
      <c r="F463" s="375"/>
      <c r="G463" s="375"/>
      <c r="H463" s="375"/>
      <c r="I463" s="375"/>
      <c r="J463" s="375"/>
      <c r="K463" s="375"/>
    </row>
    <row r="464" spans="1:11" ht="12.75">
      <c r="A464" s="375"/>
      <c r="B464" s="375"/>
      <c r="C464" s="375"/>
      <c r="D464" s="375"/>
      <c r="E464" s="375"/>
      <c r="F464" s="375"/>
      <c r="G464" s="375"/>
      <c r="H464" s="375"/>
      <c r="I464" s="375"/>
      <c r="J464" s="375"/>
      <c r="K464" s="375"/>
    </row>
    <row r="465" spans="1:11" ht="12.75">
      <c r="A465" s="375"/>
      <c r="B465" s="375"/>
      <c r="C465" s="375"/>
      <c r="D465" s="375"/>
      <c r="E465" s="375"/>
      <c r="F465" s="375"/>
      <c r="G465" s="375"/>
      <c r="H465" s="375"/>
      <c r="I465" s="375"/>
      <c r="J465" s="375"/>
      <c r="K465" s="375"/>
    </row>
    <row r="466" spans="1:11" ht="12.75">
      <c r="A466" s="375"/>
      <c r="B466" s="375"/>
      <c r="C466" s="375"/>
      <c r="D466" s="375"/>
      <c r="E466" s="375"/>
      <c r="F466" s="375"/>
      <c r="G466" s="375"/>
      <c r="H466" s="375"/>
      <c r="I466" s="375"/>
      <c r="J466" s="375"/>
      <c r="K466" s="375"/>
    </row>
    <row r="467" spans="1:11" ht="12.75">
      <c r="A467" s="375"/>
      <c r="B467" s="375"/>
      <c r="C467" s="375"/>
      <c r="D467" s="375"/>
      <c r="E467" s="375"/>
      <c r="F467" s="375"/>
      <c r="G467" s="375"/>
      <c r="H467" s="375"/>
      <c r="I467" s="375"/>
      <c r="J467" s="375"/>
      <c r="K467" s="375"/>
    </row>
    <row r="468" spans="1:11" ht="12.75">
      <c r="A468" s="375"/>
      <c r="B468" s="375"/>
      <c r="C468" s="375"/>
      <c r="D468" s="375"/>
      <c r="E468" s="375"/>
      <c r="F468" s="375"/>
      <c r="G468" s="375"/>
      <c r="H468" s="375"/>
      <c r="I468" s="375"/>
      <c r="J468" s="375"/>
      <c r="K468" s="375"/>
    </row>
    <row r="469" spans="1:11" ht="12.75">
      <c r="A469" s="375"/>
      <c r="B469" s="375"/>
      <c r="C469" s="375"/>
      <c r="D469" s="375"/>
      <c r="E469" s="375"/>
      <c r="F469" s="375"/>
      <c r="G469" s="375"/>
      <c r="H469" s="375"/>
      <c r="I469" s="375"/>
      <c r="J469" s="375"/>
      <c r="K469" s="375"/>
    </row>
    <row r="470" spans="1:11" ht="12.75">
      <c r="A470" s="375"/>
      <c r="B470" s="375"/>
      <c r="C470" s="375"/>
      <c r="D470" s="375"/>
      <c r="E470" s="375"/>
      <c r="F470" s="375"/>
      <c r="G470" s="375"/>
      <c r="H470" s="375"/>
      <c r="I470" s="375"/>
      <c r="J470" s="375"/>
      <c r="K470" s="375"/>
    </row>
    <row r="471" spans="1:11" ht="12.75">
      <c r="A471" s="375"/>
      <c r="B471" s="375"/>
      <c r="C471" s="375"/>
      <c r="D471" s="375"/>
      <c r="E471" s="375"/>
      <c r="F471" s="375"/>
      <c r="G471" s="375"/>
      <c r="H471" s="375"/>
      <c r="I471" s="375"/>
      <c r="J471" s="375"/>
      <c r="K471" s="375"/>
    </row>
    <row r="472" spans="1:11" ht="12.75">
      <c r="A472" s="375"/>
      <c r="B472" s="375"/>
      <c r="C472" s="375"/>
      <c r="D472" s="375"/>
      <c r="E472" s="375"/>
      <c r="F472" s="375"/>
      <c r="G472" s="375"/>
      <c r="H472" s="375"/>
      <c r="I472" s="375"/>
      <c r="J472" s="375"/>
      <c r="K472" s="375"/>
    </row>
    <row r="473" spans="1:11" ht="12.75">
      <c r="A473" s="375"/>
      <c r="B473" s="375"/>
      <c r="C473" s="375"/>
      <c r="D473" s="375"/>
      <c r="E473" s="375"/>
      <c r="F473" s="375"/>
      <c r="G473" s="375"/>
      <c r="H473" s="375"/>
      <c r="I473" s="375"/>
      <c r="J473" s="375"/>
      <c r="K473" s="375"/>
    </row>
    <row r="474" spans="1:11" ht="12.75">
      <c r="A474" s="375"/>
      <c r="B474" s="375"/>
      <c r="C474" s="375"/>
      <c r="D474" s="375"/>
      <c r="E474" s="375"/>
      <c r="F474" s="375"/>
      <c r="G474" s="375"/>
      <c r="H474" s="375"/>
      <c r="I474" s="375"/>
      <c r="J474" s="375"/>
      <c r="K474" s="375"/>
    </row>
    <row r="475" spans="1:11" ht="12.75">
      <c r="A475" s="375"/>
      <c r="B475" s="375"/>
      <c r="C475" s="375"/>
      <c r="D475" s="375"/>
      <c r="E475" s="375"/>
      <c r="F475" s="375"/>
      <c r="G475" s="375"/>
      <c r="H475" s="375"/>
      <c r="I475" s="375"/>
      <c r="J475" s="375"/>
      <c r="K475" s="375"/>
    </row>
    <row r="476" spans="1:11" ht="12.75">
      <c r="A476" s="375"/>
      <c r="B476" s="375"/>
      <c r="C476" s="375"/>
      <c r="D476" s="375"/>
      <c r="E476" s="375"/>
      <c r="F476" s="375"/>
      <c r="G476" s="375"/>
      <c r="H476" s="375"/>
      <c r="I476" s="375"/>
      <c r="J476" s="375"/>
      <c r="K476" s="375"/>
    </row>
    <row r="477" spans="1:11" ht="12.75">
      <c r="A477" s="375"/>
      <c r="B477" s="375"/>
      <c r="C477" s="375"/>
      <c r="D477" s="375"/>
      <c r="E477" s="375"/>
      <c r="F477" s="375"/>
      <c r="G477" s="375"/>
      <c r="H477" s="375"/>
      <c r="I477" s="375"/>
      <c r="J477" s="375"/>
      <c r="K477" s="375"/>
    </row>
    <row r="478" spans="1:11" ht="12.75">
      <c r="A478" s="375"/>
      <c r="B478" s="375"/>
      <c r="C478" s="375"/>
      <c r="D478" s="375"/>
      <c r="E478" s="375"/>
      <c r="F478" s="375"/>
      <c r="G478" s="375"/>
      <c r="H478" s="375"/>
      <c r="I478" s="375"/>
      <c r="J478" s="375"/>
      <c r="K478" s="375"/>
    </row>
    <row r="479" spans="1:11" ht="12.75">
      <c r="A479" s="375"/>
      <c r="B479" s="375"/>
      <c r="C479" s="375"/>
      <c r="D479" s="375"/>
      <c r="E479" s="375"/>
      <c r="F479" s="375"/>
      <c r="G479" s="375"/>
      <c r="H479" s="375"/>
      <c r="I479" s="375"/>
      <c r="J479" s="375"/>
      <c r="K479" s="375"/>
    </row>
    <row r="480" spans="1:11" ht="12.75">
      <c r="A480" s="375"/>
      <c r="B480" s="375"/>
      <c r="C480" s="375"/>
      <c r="D480" s="375"/>
      <c r="E480" s="375"/>
      <c r="F480" s="375"/>
      <c r="G480" s="375"/>
      <c r="H480" s="375"/>
      <c r="I480" s="375"/>
      <c r="J480" s="375"/>
      <c r="K480" s="375"/>
    </row>
    <row r="481" spans="1:11" ht="12.75">
      <c r="A481" s="375"/>
      <c r="B481" s="375"/>
      <c r="C481" s="375"/>
      <c r="D481" s="375"/>
      <c r="E481" s="375"/>
      <c r="F481" s="375"/>
      <c r="G481" s="375"/>
      <c r="H481" s="375"/>
      <c r="I481" s="375"/>
      <c r="J481" s="375"/>
      <c r="K481" s="375"/>
    </row>
    <row r="482" spans="1:11" ht="12.75">
      <c r="A482" s="375"/>
      <c r="B482" s="375"/>
      <c r="C482" s="375"/>
      <c r="D482" s="375"/>
      <c r="E482" s="375"/>
      <c r="F482" s="375"/>
      <c r="G482" s="375"/>
      <c r="H482" s="375"/>
      <c r="I482" s="375"/>
      <c r="J482" s="375"/>
      <c r="K482" s="375"/>
    </row>
    <row r="483" spans="1:11" ht="12.75">
      <c r="A483" s="375"/>
      <c r="B483" s="375"/>
      <c r="C483" s="375"/>
      <c r="D483" s="375"/>
      <c r="E483" s="375"/>
      <c r="F483" s="375"/>
      <c r="G483" s="375"/>
      <c r="H483" s="375"/>
      <c r="I483" s="375"/>
      <c r="J483" s="375"/>
      <c r="K483" s="375"/>
    </row>
    <row r="484" spans="1:11" ht="12.75">
      <c r="A484" s="375"/>
      <c r="B484" s="375"/>
      <c r="C484" s="375"/>
      <c r="D484" s="375"/>
      <c r="E484" s="375"/>
      <c r="F484" s="375"/>
      <c r="G484" s="375"/>
      <c r="H484" s="375"/>
      <c r="I484" s="375"/>
      <c r="J484" s="375"/>
      <c r="K484" s="375"/>
    </row>
    <row r="485" spans="1:11" ht="12.75">
      <c r="A485" s="375"/>
      <c r="B485" s="375"/>
      <c r="C485" s="375"/>
      <c r="D485" s="375"/>
      <c r="E485" s="375"/>
      <c r="F485" s="375"/>
      <c r="G485" s="375"/>
      <c r="H485" s="375"/>
      <c r="I485" s="375"/>
      <c r="J485" s="375"/>
      <c r="K485" s="375"/>
    </row>
    <row r="486" spans="1:11" ht="12.75">
      <c r="A486" s="375"/>
      <c r="B486" s="375"/>
      <c r="C486" s="375"/>
      <c r="D486" s="375"/>
      <c r="E486" s="375"/>
      <c r="F486" s="375"/>
      <c r="G486" s="375"/>
      <c r="H486" s="375"/>
      <c r="I486" s="375"/>
      <c r="J486" s="375"/>
      <c r="K486" s="375"/>
    </row>
    <row r="487" spans="1:11" ht="12.75">
      <c r="A487" s="375"/>
      <c r="B487" s="375"/>
      <c r="C487" s="375"/>
      <c r="D487" s="375"/>
      <c r="E487" s="375"/>
      <c r="F487" s="375"/>
      <c r="G487" s="375"/>
      <c r="H487" s="375"/>
      <c r="I487" s="375"/>
      <c r="J487" s="375"/>
      <c r="K487" s="375"/>
    </row>
    <row r="488" spans="1:11" ht="12.75">
      <c r="A488" s="375"/>
      <c r="B488" s="375"/>
      <c r="C488" s="375"/>
      <c r="D488" s="375"/>
      <c r="E488" s="375"/>
      <c r="F488" s="375"/>
      <c r="G488" s="375"/>
      <c r="H488" s="375"/>
      <c r="I488" s="375"/>
      <c r="J488" s="375"/>
      <c r="K488" s="375"/>
    </row>
    <row r="489" spans="1:11" ht="12.75">
      <c r="A489" s="375"/>
      <c r="B489" s="375"/>
      <c r="C489" s="375"/>
      <c r="D489" s="375"/>
      <c r="E489" s="375"/>
      <c r="F489" s="375"/>
      <c r="G489" s="375"/>
      <c r="H489" s="375"/>
      <c r="I489" s="375"/>
      <c r="J489" s="375"/>
      <c r="K489" s="375"/>
    </row>
    <row r="490" spans="1:11" ht="12.75">
      <c r="A490" s="375"/>
      <c r="B490" s="375"/>
      <c r="C490" s="375"/>
      <c r="D490" s="375"/>
      <c r="E490" s="375"/>
      <c r="F490" s="375"/>
      <c r="G490" s="375"/>
      <c r="H490" s="375"/>
      <c r="I490" s="375"/>
      <c r="J490" s="375"/>
      <c r="K490" s="375"/>
    </row>
    <row r="491" spans="1:11" ht="12.75">
      <c r="A491" s="375"/>
      <c r="B491" s="375"/>
      <c r="C491" s="375"/>
      <c r="D491" s="375"/>
      <c r="E491" s="375"/>
      <c r="F491" s="375"/>
      <c r="G491" s="375"/>
      <c r="H491" s="375"/>
      <c r="I491" s="375"/>
      <c r="J491" s="375"/>
      <c r="K491" s="375"/>
    </row>
    <row r="492" spans="1:11" ht="12.75">
      <c r="A492" s="375"/>
      <c r="B492" s="375"/>
      <c r="C492" s="375"/>
      <c r="D492" s="375"/>
      <c r="E492" s="375"/>
      <c r="F492" s="375"/>
      <c r="G492" s="375"/>
      <c r="H492" s="375"/>
      <c r="I492" s="375"/>
      <c r="J492" s="375"/>
      <c r="K492" s="375"/>
    </row>
    <row r="493" spans="1:11" ht="12.75">
      <c r="A493" s="375"/>
      <c r="B493" s="375"/>
      <c r="C493" s="375"/>
      <c r="D493" s="375"/>
      <c r="E493" s="375"/>
      <c r="F493" s="375"/>
      <c r="G493" s="375"/>
      <c r="H493" s="375"/>
      <c r="I493" s="375"/>
      <c r="J493" s="375"/>
      <c r="K493" s="375"/>
    </row>
    <row r="494" spans="1:11" ht="12.75">
      <c r="A494" s="375"/>
      <c r="B494" s="375"/>
      <c r="C494" s="375"/>
      <c r="D494" s="375"/>
      <c r="E494" s="375"/>
      <c r="F494" s="375"/>
      <c r="G494" s="375"/>
      <c r="H494" s="375"/>
      <c r="I494" s="375"/>
      <c r="J494" s="375"/>
      <c r="K494" s="375"/>
    </row>
    <row r="495" spans="1:11" ht="12.75">
      <c r="A495" s="375"/>
      <c r="B495" s="375"/>
      <c r="C495" s="375"/>
      <c r="D495" s="375"/>
      <c r="E495" s="375"/>
      <c r="F495" s="375"/>
      <c r="G495" s="375"/>
      <c r="H495" s="375"/>
      <c r="I495" s="375"/>
      <c r="J495" s="375"/>
      <c r="K495" s="375"/>
    </row>
    <row r="496" spans="1:11" ht="12.75">
      <c r="A496" s="375"/>
      <c r="B496" s="375"/>
      <c r="C496" s="375"/>
      <c r="D496" s="375"/>
      <c r="E496" s="375"/>
      <c r="F496" s="375"/>
      <c r="G496" s="375"/>
      <c r="H496" s="375"/>
      <c r="I496" s="375"/>
      <c r="J496" s="375"/>
      <c r="K496" s="375"/>
    </row>
    <row r="497" spans="1:11" ht="12.75">
      <c r="A497" s="375"/>
      <c r="B497" s="375"/>
      <c r="C497" s="375"/>
      <c r="D497" s="375"/>
      <c r="E497" s="375"/>
      <c r="F497" s="375"/>
      <c r="G497" s="375"/>
      <c r="H497" s="375"/>
      <c r="I497" s="375"/>
      <c r="J497" s="375"/>
      <c r="K497" s="375"/>
    </row>
    <row r="498" spans="1:11" ht="12.75">
      <c r="A498" s="375"/>
      <c r="B498" s="375"/>
      <c r="C498" s="375"/>
      <c r="D498" s="375"/>
      <c r="E498" s="375"/>
      <c r="F498" s="375"/>
      <c r="G498" s="375"/>
      <c r="H498" s="375"/>
      <c r="I498" s="375"/>
      <c r="J498" s="375"/>
      <c r="K498" s="375"/>
    </row>
    <row r="499" spans="1:11" ht="12.75">
      <c r="A499" s="375"/>
      <c r="B499" s="375"/>
      <c r="C499" s="375"/>
      <c r="D499" s="375"/>
      <c r="E499" s="375"/>
      <c r="F499" s="375"/>
      <c r="G499" s="375"/>
      <c r="H499" s="375"/>
      <c r="I499" s="375"/>
      <c r="J499" s="375"/>
      <c r="K499" s="375"/>
    </row>
    <row r="500" spans="1:11" ht="12.75">
      <c r="A500" s="375"/>
      <c r="B500" s="375"/>
      <c r="C500" s="375"/>
      <c r="D500" s="375"/>
      <c r="E500" s="375"/>
      <c r="F500" s="375"/>
      <c r="G500" s="375"/>
      <c r="H500" s="375"/>
      <c r="I500" s="375"/>
      <c r="J500" s="375"/>
      <c r="K500" s="375"/>
    </row>
    <row r="501" spans="1:11" ht="12.75">
      <c r="A501" s="375"/>
      <c r="B501" s="375"/>
      <c r="C501" s="375"/>
      <c r="D501" s="375"/>
      <c r="E501" s="375"/>
      <c r="F501" s="375"/>
      <c r="G501" s="375"/>
      <c r="H501" s="375"/>
      <c r="I501" s="375"/>
      <c r="J501" s="375"/>
      <c r="K501" s="375"/>
    </row>
    <row r="502" spans="1:11" ht="12.75">
      <c r="A502" s="375"/>
      <c r="B502" s="375"/>
      <c r="C502" s="375"/>
      <c r="D502" s="375"/>
      <c r="E502" s="375"/>
      <c r="F502" s="375"/>
      <c r="G502" s="375"/>
      <c r="H502" s="375"/>
      <c r="I502" s="375"/>
      <c r="J502" s="375"/>
      <c r="K502" s="375"/>
    </row>
    <row r="503" spans="1:11" ht="12.75">
      <c r="A503" s="375"/>
      <c r="B503" s="375"/>
      <c r="C503" s="375"/>
      <c r="D503" s="375"/>
      <c r="E503" s="375"/>
      <c r="F503" s="375"/>
      <c r="G503" s="375"/>
      <c r="H503" s="375"/>
      <c r="I503" s="375"/>
      <c r="J503" s="375"/>
      <c r="K503" s="375"/>
    </row>
    <row r="504" spans="1:11" ht="12.75">
      <c r="A504" s="375"/>
      <c r="B504" s="375"/>
      <c r="C504" s="375"/>
      <c r="D504" s="375"/>
      <c r="E504" s="375"/>
      <c r="F504" s="375"/>
      <c r="G504" s="375"/>
      <c r="H504" s="375"/>
      <c r="I504" s="375"/>
      <c r="J504" s="375"/>
      <c r="K504" s="375"/>
    </row>
    <row r="505" spans="1:11" ht="12.75">
      <c r="A505" s="375"/>
      <c r="B505" s="375"/>
      <c r="C505" s="375"/>
      <c r="D505" s="375"/>
      <c r="E505" s="375"/>
      <c r="F505" s="375"/>
      <c r="G505" s="375"/>
      <c r="H505" s="375"/>
      <c r="I505" s="375"/>
      <c r="J505" s="375"/>
      <c r="K505" s="375"/>
    </row>
    <row r="506" spans="1:11" ht="12.75">
      <c r="A506" s="375"/>
      <c r="B506" s="375"/>
      <c r="C506" s="375"/>
      <c r="D506" s="375"/>
      <c r="E506" s="375"/>
      <c r="F506" s="375"/>
      <c r="G506" s="375"/>
      <c r="H506" s="375"/>
      <c r="I506" s="375"/>
      <c r="J506" s="375"/>
      <c r="K506" s="375"/>
    </row>
    <row r="507" spans="1:11" ht="12.75">
      <c r="A507" s="375"/>
      <c r="B507" s="375"/>
      <c r="C507" s="375"/>
      <c r="D507" s="375"/>
      <c r="E507" s="375"/>
      <c r="F507" s="375"/>
      <c r="G507" s="375"/>
      <c r="H507" s="375"/>
      <c r="I507" s="375"/>
      <c r="J507" s="375"/>
      <c r="K507" s="375"/>
    </row>
    <row r="508" spans="1:11" ht="12.75">
      <c r="A508" s="375"/>
      <c r="B508" s="375"/>
      <c r="C508" s="375"/>
      <c r="D508" s="375"/>
      <c r="E508" s="375"/>
      <c r="F508" s="375"/>
      <c r="G508" s="375"/>
      <c r="H508" s="375"/>
      <c r="I508" s="375"/>
      <c r="J508" s="375"/>
      <c r="K508" s="375"/>
    </row>
    <row r="509" spans="1:11" ht="12.75">
      <c r="A509" s="375"/>
      <c r="B509" s="375"/>
      <c r="C509" s="375"/>
      <c r="D509" s="375"/>
      <c r="E509" s="375"/>
      <c r="F509" s="375"/>
      <c r="G509" s="375"/>
      <c r="H509" s="375"/>
      <c r="I509" s="375"/>
      <c r="J509" s="375"/>
      <c r="K509" s="375"/>
    </row>
    <row r="510" spans="1:11" ht="12.75">
      <c r="A510" s="375"/>
      <c r="B510" s="375"/>
      <c r="C510" s="375"/>
      <c r="D510" s="375"/>
      <c r="E510" s="375"/>
      <c r="F510" s="375"/>
      <c r="G510" s="375"/>
      <c r="H510" s="375"/>
      <c r="I510" s="375"/>
      <c r="J510" s="375"/>
      <c r="K510" s="375"/>
    </row>
    <row r="511" spans="1:11" ht="12.75">
      <c r="A511" s="375"/>
      <c r="B511" s="375"/>
      <c r="C511" s="375"/>
      <c r="D511" s="375"/>
      <c r="E511" s="375"/>
      <c r="F511" s="375"/>
      <c r="G511" s="375"/>
      <c r="H511" s="375"/>
      <c r="I511" s="375"/>
      <c r="J511" s="375"/>
      <c r="K511" s="375"/>
    </row>
    <row r="512" spans="1:11" ht="12.75">
      <c r="A512" s="375"/>
      <c r="B512" s="375"/>
      <c r="C512" s="375"/>
      <c r="D512" s="375"/>
      <c r="E512" s="375"/>
      <c r="F512" s="375"/>
      <c r="G512" s="375"/>
      <c r="H512" s="375"/>
      <c r="I512" s="375"/>
      <c r="J512" s="375"/>
      <c r="K512" s="375"/>
    </row>
    <row r="513" spans="1:11" ht="12.75">
      <c r="A513" s="375"/>
      <c r="B513" s="375"/>
      <c r="C513" s="375"/>
      <c r="D513" s="375"/>
      <c r="E513" s="375"/>
      <c r="F513" s="375"/>
      <c r="G513" s="375"/>
      <c r="H513" s="375"/>
      <c r="I513" s="375"/>
      <c r="J513" s="375"/>
      <c r="K513" s="375"/>
    </row>
    <row r="514" spans="1:11" ht="12.75">
      <c r="A514" s="375"/>
      <c r="B514" s="375"/>
      <c r="C514" s="375"/>
      <c r="D514" s="375"/>
      <c r="E514" s="375"/>
      <c r="F514" s="375"/>
      <c r="G514" s="375"/>
      <c r="H514" s="375"/>
      <c r="I514" s="375"/>
      <c r="J514" s="375"/>
      <c r="K514" s="375"/>
    </row>
    <row r="515" spans="1:11" ht="12.75">
      <c r="A515" s="375"/>
      <c r="B515" s="375"/>
      <c r="C515" s="375"/>
      <c r="D515" s="375"/>
      <c r="E515" s="375"/>
      <c r="F515" s="375"/>
      <c r="G515" s="375"/>
      <c r="H515" s="375"/>
      <c r="I515" s="375"/>
      <c r="J515" s="375"/>
      <c r="K515" s="375"/>
    </row>
    <row r="516" spans="1:11" ht="12.75">
      <c r="A516" s="375"/>
      <c r="B516" s="375"/>
      <c r="C516" s="375"/>
      <c r="D516" s="375"/>
      <c r="E516" s="375"/>
      <c r="F516" s="375"/>
      <c r="G516" s="375"/>
      <c r="H516" s="375"/>
      <c r="I516" s="375"/>
      <c r="J516" s="375"/>
      <c r="K516" s="375"/>
    </row>
    <row r="517" spans="1:11" ht="12.75">
      <c r="A517" s="375"/>
      <c r="B517" s="375"/>
      <c r="C517" s="375"/>
      <c r="D517" s="375"/>
      <c r="E517" s="375"/>
      <c r="F517" s="375"/>
      <c r="G517" s="375"/>
      <c r="H517" s="375"/>
      <c r="I517" s="375"/>
      <c r="J517" s="375"/>
      <c r="K517" s="375"/>
    </row>
    <row r="518" spans="1:11" ht="12.75">
      <c r="A518" s="375"/>
      <c r="B518" s="375"/>
      <c r="C518" s="375"/>
      <c r="D518" s="375"/>
      <c r="E518" s="375"/>
      <c r="F518" s="375"/>
      <c r="G518" s="375"/>
      <c r="H518" s="375"/>
      <c r="I518" s="375"/>
      <c r="J518" s="375"/>
      <c r="K518" s="375"/>
    </row>
    <row r="519" spans="1:11" ht="12.75">
      <c r="A519" s="375"/>
      <c r="B519" s="375"/>
      <c r="C519" s="375"/>
      <c r="D519" s="375"/>
      <c r="E519" s="375"/>
      <c r="F519" s="375"/>
      <c r="G519" s="375"/>
      <c r="H519" s="375"/>
      <c r="I519" s="375"/>
      <c r="J519" s="375"/>
      <c r="K519" s="375"/>
    </row>
    <row r="520" spans="1:11" ht="12.75">
      <c r="A520" s="375"/>
      <c r="B520" s="375"/>
      <c r="C520" s="375"/>
      <c r="D520" s="375"/>
      <c r="E520" s="375"/>
      <c r="F520" s="375"/>
      <c r="G520" s="375"/>
      <c r="H520" s="375"/>
      <c r="I520" s="375"/>
      <c r="J520" s="375"/>
      <c r="K520" s="375"/>
    </row>
    <row r="521" spans="1:11" ht="12.75">
      <c r="A521" s="375"/>
      <c r="B521" s="375"/>
      <c r="C521" s="375"/>
      <c r="D521" s="375"/>
      <c r="E521" s="375"/>
      <c r="F521" s="375"/>
      <c r="G521" s="375"/>
      <c r="H521" s="375"/>
      <c r="I521" s="375"/>
      <c r="J521" s="375"/>
      <c r="K521" s="375"/>
    </row>
    <row r="522" spans="1:11" ht="12.75">
      <c r="A522" s="375"/>
      <c r="B522" s="375"/>
      <c r="C522" s="375"/>
      <c r="D522" s="375"/>
      <c r="E522" s="375"/>
      <c r="F522" s="375"/>
      <c r="G522" s="375"/>
      <c r="H522" s="375"/>
      <c r="I522" s="375"/>
      <c r="J522" s="375"/>
      <c r="K522" s="375"/>
    </row>
    <row r="523" spans="1:11" ht="12.75">
      <c r="A523" s="375"/>
      <c r="B523" s="375"/>
      <c r="C523" s="375"/>
      <c r="D523" s="375"/>
      <c r="E523" s="375"/>
      <c r="F523" s="375"/>
      <c r="G523" s="375"/>
      <c r="H523" s="375"/>
      <c r="I523" s="375"/>
      <c r="J523" s="375"/>
      <c r="K523" s="375"/>
    </row>
    <row r="524" spans="1:11" ht="12.75">
      <c r="A524" s="375"/>
      <c r="B524" s="375"/>
      <c r="C524" s="375"/>
      <c r="D524" s="375"/>
      <c r="E524" s="375"/>
      <c r="F524" s="375"/>
      <c r="G524" s="375"/>
      <c r="H524" s="375"/>
      <c r="I524" s="375"/>
      <c r="J524" s="375"/>
      <c r="K524" s="375"/>
    </row>
    <row r="525" spans="1:11" ht="12.75">
      <c r="A525" s="375"/>
      <c r="B525" s="375"/>
      <c r="C525" s="375"/>
      <c r="D525" s="375"/>
      <c r="E525" s="375"/>
      <c r="F525" s="375"/>
      <c r="G525" s="375"/>
      <c r="H525" s="375"/>
      <c r="I525" s="375"/>
      <c r="J525" s="375"/>
      <c r="K525" s="375"/>
    </row>
    <row r="526" spans="1:11" ht="12.75">
      <c r="A526" s="375"/>
      <c r="B526" s="375"/>
      <c r="C526" s="375"/>
      <c r="D526" s="375"/>
      <c r="E526" s="375"/>
      <c r="F526" s="375"/>
      <c r="G526" s="375"/>
      <c r="H526" s="375"/>
      <c r="I526" s="375"/>
      <c r="J526" s="375"/>
      <c r="K526" s="375"/>
    </row>
    <row r="527" spans="1:11" ht="12.75">
      <c r="A527" s="375"/>
      <c r="B527" s="375"/>
      <c r="C527" s="375"/>
      <c r="D527" s="375"/>
      <c r="E527" s="375"/>
      <c r="F527" s="375"/>
      <c r="G527" s="375"/>
      <c r="H527" s="375"/>
      <c r="I527" s="375"/>
      <c r="J527" s="375"/>
      <c r="K527" s="375"/>
    </row>
    <row r="528" spans="1:11" ht="12.75">
      <c r="A528" s="375"/>
      <c r="B528" s="375"/>
      <c r="C528" s="375"/>
      <c r="D528" s="375"/>
      <c r="E528" s="375"/>
      <c r="F528" s="375"/>
      <c r="G528" s="375"/>
      <c r="H528" s="375"/>
      <c r="I528" s="375"/>
      <c r="J528" s="375"/>
      <c r="K528" s="375"/>
    </row>
    <row r="529" spans="1:11" ht="12.75">
      <c r="A529" s="375"/>
      <c r="B529" s="375"/>
      <c r="C529" s="375"/>
      <c r="D529" s="375"/>
      <c r="E529" s="375"/>
      <c r="F529" s="375"/>
      <c r="G529" s="375"/>
      <c r="H529" s="375"/>
      <c r="I529" s="375"/>
      <c r="J529" s="375"/>
      <c r="K529" s="375"/>
    </row>
    <row r="530" spans="1:11" ht="12.75">
      <c r="A530" s="375"/>
      <c r="B530" s="375"/>
      <c r="C530" s="375"/>
      <c r="D530" s="375"/>
      <c r="E530" s="375"/>
      <c r="F530" s="375"/>
      <c r="G530" s="375"/>
      <c r="H530" s="375"/>
      <c r="I530" s="375"/>
      <c r="J530" s="375"/>
      <c r="K530" s="375"/>
    </row>
    <row r="531" spans="1:11" ht="12.75">
      <c r="A531" s="375"/>
      <c r="B531" s="375"/>
      <c r="C531" s="375"/>
      <c r="D531" s="375"/>
      <c r="E531" s="375"/>
      <c r="F531" s="375"/>
      <c r="G531" s="375"/>
      <c r="H531" s="375"/>
      <c r="I531" s="375"/>
      <c r="J531" s="375"/>
      <c r="K531" s="375"/>
    </row>
    <row r="532" spans="1:11" ht="12.75">
      <c r="A532" s="375"/>
      <c r="B532" s="375"/>
      <c r="C532" s="375"/>
      <c r="D532" s="375"/>
      <c r="E532" s="375"/>
      <c r="F532" s="375"/>
      <c r="G532" s="375"/>
      <c r="H532" s="375"/>
      <c r="I532" s="375"/>
      <c r="J532" s="375"/>
      <c r="K532" s="375"/>
    </row>
    <row r="533" spans="1:11" ht="12.75">
      <c r="A533" s="375"/>
      <c r="B533" s="375"/>
      <c r="C533" s="375"/>
      <c r="D533" s="375"/>
      <c r="E533" s="375"/>
      <c r="F533" s="375"/>
      <c r="G533" s="375"/>
      <c r="H533" s="375"/>
      <c r="I533" s="375"/>
      <c r="J533" s="375"/>
      <c r="K533" s="375"/>
    </row>
    <row r="534" spans="1:11" ht="12.75">
      <c r="A534" s="375"/>
      <c r="B534" s="375"/>
      <c r="C534" s="375"/>
      <c r="D534" s="375"/>
      <c r="E534" s="375"/>
      <c r="F534" s="375"/>
      <c r="G534" s="375"/>
      <c r="H534" s="375"/>
      <c r="I534" s="375"/>
      <c r="J534" s="375"/>
      <c r="K534" s="375"/>
    </row>
    <row r="535" spans="1:11" ht="12.75">
      <c r="A535" s="375"/>
      <c r="B535" s="375"/>
      <c r="C535" s="375"/>
      <c r="D535" s="375"/>
      <c r="E535" s="375"/>
      <c r="F535" s="375"/>
      <c r="G535" s="375"/>
      <c r="H535" s="375"/>
      <c r="I535" s="375"/>
      <c r="J535" s="375"/>
      <c r="K535" s="375"/>
    </row>
    <row r="536" spans="1:11" ht="12.75">
      <c r="A536" s="375"/>
      <c r="B536" s="375"/>
      <c r="C536" s="375"/>
      <c r="D536" s="375"/>
      <c r="E536" s="375"/>
      <c r="F536" s="375"/>
      <c r="G536" s="375"/>
      <c r="H536" s="375"/>
      <c r="I536" s="375"/>
      <c r="J536" s="375"/>
      <c r="K536" s="375"/>
    </row>
    <row r="537" spans="1:11" ht="12.75">
      <c r="A537" s="375"/>
      <c r="B537" s="375"/>
      <c r="C537" s="375"/>
      <c r="D537" s="375"/>
      <c r="E537" s="375"/>
      <c r="F537" s="375"/>
      <c r="G537" s="375"/>
      <c r="H537" s="375"/>
      <c r="I537" s="375"/>
      <c r="J537" s="375"/>
      <c r="K537" s="375"/>
    </row>
    <row r="538" spans="1:11" ht="12.75">
      <c r="A538" s="375"/>
      <c r="B538" s="375"/>
      <c r="C538" s="375"/>
      <c r="D538" s="375"/>
      <c r="E538" s="375"/>
      <c r="F538" s="375"/>
      <c r="G538" s="375"/>
      <c r="H538" s="375"/>
      <c r="I538" s="375"/>
      <c r="J538" s="375"/>
      <c r="K538" s="375"/>
    </row>
    <row r="539" spans="1:11" ht="12.75">
      <c r="A539" s="375"/>
      <c r="B539" s="375"/>
      <c r="C539" s="375"/>
      <c r="D539" s="375"/>
      <c r="E539" s="375"/>
      <c r="F539" s="375"/>
      <c r="G539" s="375"/>
      <c r="H539" s="375"/>
      <c r="I539" s="375"/>
      <c r="J539" s="375"/>
      <c r="K539" s="375"/>
    </row>
    <row r="540" spans="1:11" ht="12.75">
      <c r="A540" s="375"/>
      <c r="B540" s="375"/>
      <c r="C540" s="375"/>
      <c r="D540" s="375"/>
      <c r="E540" s="375"/>
      <c r="F540" s="375"/>
      <c r="G540" s="375"/>
      <c r="H540" s="375"/>
      <c r="I540" s="375"/>
      <c r="J540" s="375"/>
      <c r="K540" s="375"/>
    </row>
    <row r="541" spans="1:11" ht="12.75">
      <c r="A541" s="375"/>
      <c r="B541" s="375"/>
      <c r="C541" s="375"/>
      <c r="D541" s="375"/>
      <c r="E541" s="375"/>
      <c r="F541" s="375"/>
      <c r="G541" s="375"/>
      <c r="H541" s="375"/>
      <c r="I541" s="375"/>
      <c r="J541" s="375"/>
      <c r="K541" s="375"/>
    </row>
    <row r="542" spans="1:11" ht="12.75">
      <c r="A542" s="375"/>
      <c r="B542" s="375"/>
      <c r="C542" s="375"/>
      <c r="D542" s="375"/>
      <c r="E542" s="375"/>
      <c r="F542" s="375"/>
      <c r="G542" s="375"/>
      <c r="H542" s="375"/>
      <c r="I542" s="375"/>
      <c r="J542" s="375"/>
      <c r="K542" s="375"/>
    </row>
    <row r="543" spans="1:11" ht="12.75">
      <c r="A543" s="375"/>
      <c r="B543" s="375"/>
      <c r="C543" s="375"/>
      <c r="D543" s="375"/>
      <c r="E543" s="375"/>
      <c r="F543" s="375"/>
      <c r="G543" s="375"/>
      <c r="H543" s="375"/>
      <c r="I543" s="375"/>
      <c r="J543" s="375"/>
      <c r="K543" s="375"/>
    </row>
    <row r="544" spans="1:11" ht="12.75">
      <c r="A544" s="375"/>
      <c r="B544" s="375"/>
      <c r="C544" s="375"/>
      <c r="D544" s="375"/>
      <c r="E544" s="375"/>
      <c r="F544" s="375"/>
      <c r="G544" s="375"/>
      <c r="H544" s="375"/>
      <c r="I544" s="375"/>
      <c r="J544" s="375"/>
      <c r="K544" s="375"/>
    </row>
    <row r="545" spans="1:11" ht="12.75">
      <c r="A545" s="375"/>
      <c r="B545" s="375"/>
      <c r="C545" s="375"/>
      <c r="D545" s="375"/>
      <c r="E545" s="375"/>
      <c r="F545" s="375"/>
      <c r="G545" s="375"/>
      <c r="H545" s="375"/>
      <c r="I545" s="375"/>
      <c r="J545" s="375"/>
      <c r="K545" s="375"/>
    </row>
    <row r="546" spans="1:11" ht="12.75">
      <c r="A546" s="375"/>
      <c r="B546" s="375"/>
      <c r="C546" s="375"/>
      <c r="D546" s="375"/>
      <c r="E546" s="375"/>
      <c r="F546" s="375"/>
      <c r="G546" s="375"/>
      <c r="H546" s="375"/>
      <c r="I546" s="375"/>
      <c r="J546" s="375"/>
      <c r="K546" s="375"/>
    </row>
    <row r="547" spans="1:11" ht="12.75">
      <c r="A547" s="375"/>
      <c r="B547" s="375"/>
      <c r="C547" s="375"/>
      <c r="D547" s="375"/>
      <c r="E547" s="375"/>
      <c r="F547" s="375"/>
      <c r="G547" s="375"/>
      <c r="H547" s="375"/>
      <c r="I547" s="375"/>
      <c r="J547" s="375"/>
      <c r="K547" s="375"/>
    </row>
    <row r="548" spans="1:11" ht="12.75">
      <c r="A548" s="375"/>
      <c r="B548" s="375"/>
      <c r="C548" s="375"/>
      <c r="D548" s="375"/>
      <c r="E548" s="375"/>
      <c r="F548" s="375"/>
      <c r="G548" s="375"/>
      <c r="H548" s="375"/>
      <c r="I548" s="375"/>
      <c r="J548" s="375"/>
      <c r="K548" s="375"/>
    </row>
    <row r="549" spans="1:11" ht="12.75">
      <c r="A549" s="375"/>
      <c r="B549" s="375"/>
      <c r="C549" s="375"/>
      <c r="D549" s="375"/>
      <c r="E549" s="375"/>
      <c r="F549" s="375"/>
      <c r="G549" s="375"/>
      <c r="H549" s="375"/>
      <c r="I549" s="375"/>
      <c r="J549" s="375"/>
      <c r="K549" s="375"/>
    </row>
    <row r="550" spans="1:11" ht="12.75">
      <c r="A550" s="375"/>
      <c r="B550" s="375"/>
      <c r="C550" s="375"/>
      <c r="D550" s="375"/>
      <c r="E550" s="375"/>
      <c r="F550" s="375"/>
      <c r="G550" s="375"/>
      <c r="H550" s="375"/>
      <c r="I550" s="375"/>
      <c r="J550" s="375"/>
      <c r="K550" s="375"/>
    </row>
    <row r="551" spans="1:11" ht="12.75">
      <c r="A551" s="375"/>
      <c r="B551" s="375"/>
      <c r="C551" s="375"/>
      <c r="D551" s="375"/>
      <c r="E551" s="375"/>
      <c r="F551" s="375"/>
      <c r="G551" s="375"/>
      <c r="H551" s="375"/>
      <c r="I551" s="375"/>
      <c r="J551" s="375"/>
      <c r="K551" s="375"/>
    </row>
    <row r="552" spans="1:11" ht="12.75">
      <c r="A552" s="375"/>
      <c r="B552" s="375"/>
      <c r="C552" s="375"/>
      <c r="D552" s="375"/>
      <c r="E552" s="375"/>
      <c r="F552" s="375"/>
      <c r="G552" s="375"/>
      <c r="H552" s="375"/>
      <c r="I552" s="375"/>
      <c r="J552" s="375"/>
      <c r="K552" s="375"/>
    </row>
    <row r="553" spans="1:11" ht="12.75">
      <c r="A553" s="375"/>
      <c r="B553" s="375"/>
      <c r="C553" s="375"/>
      <c r="D553" s="375"/>
      <c r="E553" s="375"/>
      <c r="F553" s="375"/>
      <c r="G553" s="375"/>
      <c r="H553" s="375"/>
      <c r="I553" s="375"/>
      <c r="J553" s="375"/>
      <c r="K553" s="375"/>
    </row>
    <row r="554" spans="1:11" ht="12.75">
      <c r="A554" s="375"/>
      <c r="B554" s="375"/>
      <c r="C554" s="375"/>
      <c r="D554" s="375"/>
      <c r="E554" s="375"/>
      <c r="F554" s="375"/>
      <c r="G554" s="375"/>
      <c r="H554" s="375"/>
      <c r="I554" s="375"/>
      <c r="J554" s="375"/>
      <c r="K554" s="375"/>
    </row>
    <row r="555" spans="1:11" ht="12.75">
      <c r="A555" s="375"/>
      <c r="B555" s="375"/>
      <c r="C555" s="375"/>
      <c r="D555" s="375"/>
      <c r="E555" s="375"/>
      <c r="F555" s="375"/>
      <c r="G555" s="375"/>
      <c r="H555" s="375"/>
      <c r="I555" s="375"/>
      <c r="J555" s="375"/>
      <c r="K555" s="375"/>
    </row>
    <row r="556" spans="1:11" ht="12.75">
      <c r="A556" s="375"/>
      <c r="B556" s="375"/>
      <c r="C556" s="375"/>
      <c r="D556" s="375"/>
      <c r="E556" s="375"/>
      <c r="F556" s="375"/>
      <c r="G556" s="375"/>
      <c r="H556" s="375"/>
      <c r="I556" s="375"/>
      <c r="J556" s="375"/>
      <c r="K556" s="375"/>
    </row>
    <row r="557" spans="1:11" ht="12.75">
      <c r="A557" s="375"/>
      <c r="B557" s="375"/>
      <c r="C557" s="375"/>
      <c r="D557" s="375"/>
      <c r="E557" s="375"/>
      <c r="F557" s="375"/>
      <c r="G557" s="375"/>
      <c r="H557" s="375"/>
      <c r="I557" s="375"/>
      <c r="J557" s="375"/>
      <c r="K557" s="375"/>
    </row>
    <row r="558" spans="1:11" ht="12.75">
      <c r="A558" s="375"/>
      <c r="B558" s="375"/>
      <c r="C558" s="375"/>
      <c r="D558" s="375"/>
      <c r="E558" s="375"/>
      <c r="F558" s="375"/>
      <c r="G558" s="375"/>
      <c r="H558" s="375"/>
      <c r="I558" s="375"/>
      <c r="J558" s="375"/>
      <c r="K558" s="375"/>
    </row>
    <row r="559" spans="1:11" ht="12.75">
      <c r="A559" s="375"/>
      <c r="B559" s="375"/>
      <c r="C559" s="375"/>
      <c r="D559" s="375"/>
      <c r="E559" s="375"/>
      <c r="F559" s="375"/>
      <c r="G559" s="375"/>
      <c r="H559" s="375"/>
      <c r="I559" s="375"/>
      <c r="J559" s="375"/>
      <c r="K559" s="375"/>
    </row>
    <row r="560" spans="1:11" ht="12.75">
      <c r="A560" s="375"/>
      <c r="B560" s="375"/>
      <c r="C560" s="375"/>
      <c r="D560" s="375"/>
      <c r="E560" s="375"/>
      <c r="F560" s="375"/>
      <c r="G560" s="375"/>
      <c r="H560" s="375"/>
      <c r="I560" s="375"/>
      <c r="J560" s="375"/>
      <c r="K560" s="375"/>
    </row>
    <row r="561" spans="1:11" ht="12.75">
      <c r="A561" s="375"/>
      <c r="B561" s="375"/>
      <c r="C561" s="375"/>
      <c r="D561" s="375"/>
      <c r="E561" s="375"/>
      <c r="F561" s="375"/>
      <c r="G561" s="375"/>
      <c r="H561" s="375"/>
      <c r="I561" s="375"/>
      <c r="J561" s="375"/>
      <c r="K561" s="375"/>
    </row>
    <row r="562" spans="1:11" ht="12.75">
      <c r="A562" s="375"/>
      <c r="B562" s="375"/>
      <c r="C562" s="375"/>
      <c r="D562" s="375"/>
      <c r="E562" s="375"/>
      <c r="F562" s="375"/>
      <c r="G562" s="375"/>
      <c r="H562" s="375"/>
      <c r="I562" s="375"/>
      <c r="J562" s="375"/>
      <c r="K562" s="375"/>
    </row>
    <row r="563" spans="1:11" ht="12.75">
      <c r="A563" s="375"/>
      <c r="B563" s="375"/>
      <c r="C563" s="375"/>
      <c r="D563" s="375"/>
      <c r="E563" s="375"/>
      <c r="F563" s="375"/>
      <c r="G563" s="375"/>
      <c r="H563" s="375"/>
      <c r="I563" s="375"/>
      <c r="J563" s="375"/>
      <c r="K563" s="375"/>
    </row>
    <row r="564" spans="1:11" ht="12.75">
      <c r="A564" s="375"/>
      <c r="B564" s="375"/>
      <c r="C564" s="375"/>
      <c r="D564" s="375"/>
      <c r="E564" s="375"/>
      <c r="F564" s="375"/>
      <c r="G564" s="375"/>
      <c r="H564" s="375"/>
      <c r="I564" s="375"/>
      <c r="J564" s="375"/>
      <c r="K564" s="375"/>
    </row>
    <row r="565" spans="1:11" ht="12.75">
      <c r="A565" s="375"/>
      <c r="B565" s="375"/>
      <c r="C565" s="375"/>
      <c r="D565" s="375"/>
      <c r="E565" s="375"/>
      <c r="F565" s="375"/>
      <c r="G565" s="375"/>
      <c r="H565" s="375"/>
      <c r="I565" s="375"/>
      <c r="J565" s="375"/>
      <c r="K565" s="375"/>
    </row>
    <row r="566" spans="1:11" ht="12.75">
      <c r="A566" s="375"/>
      <c r="B566" s="375"/>
      <c r="C566" s="375"/>
      <c r="D566" s="375"/>
      <c r="E566" s="375"/>
      <c r="F566" s="375"/>
      <c r="G566" s="375"/>
      <c r="H566" s="375"/>
      <c r="I566" s="375"/>
      <c r="J566" s="375"/>
      <c r="K566" s="375"/>
    </row>
    <row r="567" spans="1:11" ht="12.75">
      <c r="A567" s="375"/>
      <c r="B567" s="375"/>
      <c r="C567" s="375"/>
      <c r="D567" s="375"/>
      <c r="E567" s="375"/>
      <c r="F567" s="375"/>
      <c r="G567" s="375"/>
      <c r="H567" s="375"/>
      <c r="I567" s="375"/>
      <c r="J567" s="375"/>
      <c r="K567" s="375"/>
    </row>
    <row r="568" spans="1:11" ht="12.75">
      <c r="A568" s="375"/>
      <c r="B568" s="375"/>
      <c r="C568" s="375"/>
      <c r="D568" s="375"/>
      <c r="E568" s="375"/>
      <c r="F568" s="375"/>
      <c r="G568" s="375"/>
      <c r="H568" s="375"/>
      <c r="I568" s="375"/>
      <c r="J568" s="375"/>
      <c r="K568" s="375"/>
    </row>
    <row r="569" spans="1:11" ht="12.75">
      <c r="A569" s="375"/>
      <c r="B569" s="375"/>
      <c r="C569" s="375"/>
      <c r="D569" s="375"/>
      <c r="E569" s="375"/>
      <c r="F569" s="375"/>
      <c r="G569" s="375"/>
      <c r="H569" s="375"/>
      <c r="I569" s="375"/>
      <c r="J569" s="375"/>
      <c r="K569" s="375"/>
    </row>
    <row r="570" spans="1:11" ht="12.75">
      <c r="A570" s="375"/>
      <c r="B570" s="375"/>
      <c r="C570" s="375"/>
      <c r="D570" s="375"/>
      <c r="E570" s="375"/>
      <c r="F570" s="375"/>
      <c r="G570" s="375"/>
      <c r="H570" s="375"/>
      <c r="I570" s="375"/>
      <c r="J570" s="375"/>
      <c r="K570" s="375"/>
    </row>
    <row r="571" spans="1:11" ht="12.75">
      <c r="A571" s="375"/>
      <c r="B571" s="375"/>
      <c r="C571" s="375"/>
      <c r="D571" s="375"/>
      <c r="E571" s="375"/>
      <c r="F571" s="375"/>
      <c r="G571" s="375"/>
      <c r="H571" s="375"/>
      <c r="I571" s="375"/>
      <c r="J571" s="375"/>
      <c r="K571" s="375"/>
    </row>
    <row r="572" spans="1:11" ht="12.75">
      <c r="A572" s="375"/>
      <c r="B572" s="375"/>
      <c r="C572" s="375"/>
      <c r="D572" s="375"/>
      <c r="E572" s="375"/>
      <c r="F572" s="375"/>
      <c r="G572" s="375"/>
      <c r="H572" s="375"/>
      <c r="I572" s="375"/>
      <c r="J572" s="375"/>
      <c r="K572" s="375"/>
    </row>
    <row r="573" spans="1:11" ht="12.75">
      <c r="A573" s="375"/>
      <c r="B573" s="375"/>
      <c r="C573" s="375"/>
      <c r="D573" s="375"/>
      <c r="E573" s="375"/>
      <c r="F573" s="375"/>
      <c r="G573" s="375"/>
      <c r="H573" s="375"/>
      <c r="I573" s="375"/>
      <c r="J573" s="375"/>
      <c r="K573" s="375"/>
    </row>
    <row r="574" spans="1:11" ht="12.75">
      <c r="A574" s="375"/>
      <c r="B574" s="375"/>
      <c r="C574" s="375"/>
      <c r="D574" s="375"/>
      <c r="E574" s="375"/>
      <c r="F574" s="375"/>
      <c r="G574" s="375"/>
      <c r="H574" s="375"/>
      <c r="I574" s="375"/>
      <c r="J574" s="375"/>
      <c r="K574" s="375"/>
    </row>
    <row r="575" spans="1:11" ht="12.75">
      <c r="A575" s="375"/>
      <c r="B575" s="375"/>
      <c r="C575" s="375"/>
      <c r="D575" s="375"/>
      <c r="E575" s="375"/>
      <c r="F575" s="375"/>
      <c r="G575" s="375"/>
      <c r="H575" s="375"/>
      <c r="I575" s="375"/>
      <c r="J575" s="375"/>
      <c r="K575" s="375"/>
    </row>
    <row r="576" spans="1:11" ht="12.75">
      <c r="A576" s="375"/>
      <c r="B576" s="375"/>
      <c r="C576" s="375"/>
      <c r="D576" s="375"/>
      <c r="E576" s="375"/>
      <c r="F576" s="375"/>
      <c r="G576" s="375"/>
      <c r="H576" s="375"/>
      <c r="I576" s="375"/>
      <c r="J576" s="375"/>
      <c r="K576" s="375"/>
    </row>
    <row r="577" spans="1:11" ht="12.75">
      <c r="A577" s="375"/>
      <c r="B577" s="375"/>
      <c r="C577" s="375"/>
      <c r="D577" s="375"/>
      <c r="E577" s="375"/>
      <c r="F577" s="375"/>
      <c r="G577" s="375"/>
      <c r="H577" s="375"/>
      <c r="I577" s="375"/>
      <c r="J577" s="375"/>
      <c r="K577" s="375"/>
    </row>
    <row r="578" spans="1:11" ht="12.75">
      <c r="A578" s="375"/>
      <c r="B578" s="375"/>
      <c r="C578" s="375"/>
      <c r="D578" s="375"/>
      <c r="E578" s="375"/>
      <c r="F578" s="375"/>
      <c r="G578" s="375"/>
      <c r="H578" s="375"/>
      <c r="I578" s="375"/>
      <c r="J578" s="375"/>
      <c r="K578" s="375"/>
    </row>
    <row r="579" spans="1:11" ht="12.75">
      <c r="A579" s="375"/>
      <c r="B579" s="375"/>
      <c r="C579" s="375"/>
      <c r="D579" s="375"/>
      <c r="E579" s="375"/>
      <c r="F579" s="375"/>
      <c r="G579" s="375"/>
      <c r="H579" s="375"/>
      <c r="I579" s="375"/>
      <c r="J579" s="375"/>
      <c r="K579" s="375"/>
    </row>
    <row r="580" spans="1:11" ht="12.75">
      <c r="A580" s="375"/>
      <c r="B580" s="375"/>
      <c r="C580" s="375"/>
      <c r="D580" s="375"/>
      <c r="E580" s="375"/>
      <c r="F580" s="375"/>
      <c r="G580" s="375"/>
      <c r="H580" s="375"/>
      <c r="I580" s="375"/>
      <c r="J580" s="375"/>
      <c r="K580" s="375"/>
    </row>
    <row r="581" spans="1:11" ht="12.75">
      <c r="A581" s="375"/>
      <c r="B581" s="375"/>
      <c r="C581" s="375"/>
      <c r="D581" s="375"/>
      <c r="E581" s="375"/>
      <c r="F581" s="375"/>
      <c r="G581" s="375"/>
      <c r="H581" s="375"/>
      <c r="I581" s="375"/>
      <c r="J581" s="375"/>
      <c r="K581" s="375"/>
    </row>
    <row r="582" spans="1:11" ht="12.75">
      <c r="A582" s="375"/>
      <c r="B582" s="375"/>
      <c r="C582" s="375"/>
      <c r="D582" s="375"/>
      <c r="E582" s="375"/>
      <c r="F582" s="375"/>
      <c r="G582" s="375"/>
      <c r="H582" s="375"/>
      <c r="I582" s="375"/>
      <c r="J582" s="375"/>
      <c r="K582" s="375"/>
    </row>
    <row r="583" spans="1:11" ht="12.75">
      <c r="A583" s="375"/>
      <c r="B583" s="375"/>
      <c r="C583" s="375"/>
      <c r="D583" s="375"/>
      <c r="E583" s="375"/>
      <c r="F583" s="375"/>
      <c r="G583" s="375"/>
      <c r="H583" s="375"/>
      <c r="I583" s="375"/>
      <c r="J583" s="375"/>
      <c r="K583" s="375"/>
    </row>
    <row r="584" spans="1:11" ht="12.75">
      <c r="A584" s="375"/>
      <c r="B584" s="375"/>
      <c r="C584" s="375"/>
      <c r="D584" s="375"/>
      <c r="E584" s="375"/>
      <c r="F584" s="375"/>
      <c r="G584" s="375"/>
      <c r="H584" s="375"/>
      <c r="I584" s="375"/>
      <c r="J584" s="375"/>
      <c r="K584" s="375"/>
    </row>
    <row r="585" spans="1:11" ht="12.75">
      <c r="A585" s="375"/>
      <c r="B585" s="375"/>
      <c r="C585" s="375"/>
      <c r="D585" s="375"/>
      <c r="E585" s="375"/>
      <c r="F585" s="375"/>
      <c r="G585" s="375"/>
      <c r="H585" s="375"/>
      <c r="I585" s="375"/>
      <c r="J585" s="375"/>
      <c r="K585" s="375"/>
    </row>
    <row r="586" spans="1:11" ht="12.75">
      <c r="A586" s="375"/>
      <c r="B586" s="375"/>
      <c r="C586" s="375"/>
      <c r="D586" s="375"/>
      <c r="E586" s="375"/>
      <c r="F586" s="375"/>
      <c r="G586" s="375"/>
      <c r="H586" s="375"/>
      <c r="I586" s="375"/>
      <c r="J586" s="375"/>
      <c r="K586" s="375"/>
    </row>
    <row r="587" spans="1:11" ht="12.75">
      <c r="A587" s="375"/>
      <c r="B587" s="375"/>
      <c r="C587" s="375"/>
      <c r="D587" s="375"/>
      <c r="E587" s="375"/>
      <c r="F587" s="375"/>
      <c r="G587" s="375"/>
      <c r="H587" s="375"/>
      <c r="I587" s="375"/>
      <c r="J587" s="375"/>
      <c r="K587" s="375"/>
    </row>
    <row r="588" spans="1:11" ht="12.75">
      <c r="A588" s="375"/>
      <c r="B588" s="375"/>
      <c r="C588" s="375"/>
      <c r="D588" s="375"/>
      <c r="E588" s="375"/>
      <c r="F588" s="375"/>
      <c r="G588" s="375"/>
      <c r="H588" s="375"/>
      <c r="I588" s="375"/>
      <c r="J588" s="375"/>
      <c r="K588" s="375"/>
    </row>
    <row r="589" spans="1:11" ht="12.75">
      <c r="A589" s="375"/>
      <c r="B589" s="375"/>
      <c r="C589" s="375"/>
      <c r="D589" s="375"/>
      <c r="E589" s="375"/>
      <c r="F589" s="375"/>
      <c r="G589" s="375"/>
      <c r="H589" s="375"/>
      <c r="I589" s="375"/>
      <c r="J589" s="375"/>
      <c r="K589" s="375"/>
    </row>
    <row r="590" spans="1:11" ht="12.75">
      <c r="A590" s="375"/>
      <c r="B590" s="375"/>
      <c r="C590" s="375"/>
      <c r="D590" s="375"/>
      <c r="E590" s="375"/>
      <c r="F590" s="375"/>
      <c r="G590" s="375"/>
      <c r="H590" s="375"/>
      <c r="I590" s="375"/>
      <c r="J590" s="375"/>
      <c r="K590" s="375"/>
    </row>
    <row r="591" spans="1:11" ht="12.75">
      <c r="A591" s="375"/>
      <c r="B591" s="375"/>
      <c r="C591" s="375"/>
      <c r="D591" s="375"/>
      <c r="E591" s="375"/>
      <c r="F591" s="375"/>
      <c r="G591" s="375"/>
      <c r="H591" s="375"/>
      <c r="I591" s="375"/>
      <c r="J591" s="375"/>
      <c r="K591" s="375"/>
    </row>
    <row r="592" spans="1:11" ht="12.75">
      <c r="A592" s="375"/>
      <c r="B592" s="375"/>
      <c r="C592" s="375"/>
      <c r="D592" s="375"/>
      <c r="E592" s="375"/>
      <c r="F592" s="375"/>
      <c r="G592" s="375"/>
      <c r="H592" s="375"/>
      <c r="I592" s="375"/>
      <c r="J592" s="375"/>
      <c r="K592" s="375"/>
    </row>
    <row r="593" spans="1:11" ht="12.75">
      <c r="A593" s="375"/>
      <c r="B593" s="375"/>
      <c r="C593" s="375"/>
      <c r="D593" s="375"/>
      <c r="E593" s="375"/>
      <c r="F593" s="375"/>
      <c r="G593" s="375"/>
      <c r="H593" s="375"/>
      <c r="I593" s="375"/>
      <c r="J593" s="375"/>
      <c r="K593" s="375"/>
    </row>
    <row r="594" spans="1:11" ht="12.75">
      <c r="A594" s="375"/>
      <c r="B594" s="375"/>
      <c r="C594" s="375"/>
      <c r="D594" s="375"/>
      <c r="E594" s="375"/>
      <c r="F594" s="375"/>
      <c r="G594" s="375"/>
      <c r="H594" s="375"/>
      <c r="I594" s="375"/>
      <c r="J594" s="375"/>
      <c r="K594" s="375"/>
    </row>
    <row r="595" spans="1:11" ht="12.75">
      <c r="A595" s="375"/>
      <c r="B595" s="375"/>
      <c r="C595" s="375"/>
      <c r="D595" s="375"/>
      <c r="E595" s="375"/>
      <c r="F595" s="375"/>
      <c r="G595" s="375"/>
      <c r="H595" s="375"/>
      <c r="I595" s="375"/>
      <c r="J595" s="375"/>
      <c r="K595" s="375"/>
    </row>
    <row r="596" spans="1:11" ht="12.75">
      <c r="A596" s="375"/>
      <c r="B596" s="375"/>
      <c r="C596" s="375"/>
      <c r="D596" s="375"/>
      <c r="E596" s="375"/>
      <c r="F596" s="375"/>
      <c r="G596" s="375"/>
      <c r="H596" s="375"/>
      <c r="I596" s="375"/>
      <c r="J596" s="375"/>
      <c r="K596" s="375"/>
    </row>
    <row r="597" spans="1:11" ht="12.75">
      <c r="A597" s="375"/>
      <c r="B597" s="375"/>
      <c r="C597" s="375"/>
      <c r="D597" s="375"/>
      <c r="E597" s="375"/>
      <c r="F597" s="375"/>
      <c r="G597" s="375"/>
      <c r="H597" s="375"/>
      <c r="I597" s="375"/>
      <c r="J597" s="375"/>
      <c r="K597" s="375"/>
    </row>
    <row r="598" spans="1:11" ht="12.75">
      <c r="A598" s="375"/>
      <c r="B598" s="375"/>
      <c r="C598" s="375"/>
      <c r="D598" s="375"/>
      <c r="E598" s="375"/>
      <c r="F598" s="375"/>
      <c r="G598" s="375"/>
      <c r="H598" s="375"/>
      <c r="I598" s="375"/>
      <c r="J598" s="375"/>
      <c r="K598" s="375"/>
    </row>
    <row r="599" spans="1:11" ht="12.75">
      <c r="A599" s="375"/>
      <c r="B599" s="375"/>
      <c r="C599" s="375"/>
      <c r="D599" s="375"/>
      <c r="E599" s="375"/>
      <c r="F599" s="375"/>
      <c r="G599" s="375"/>
      <c r="H599" s="375"/>
      <c r="I599" s="375"/>
      <c r="J599" s="375"/>
      <c r="K599" s="375"/>
    </row>
    <row r="600" spans="1:11" ht="12.75">
      <c r="A600" s="375"/>
      <c r="B600" s="375"/>
      <c r="C600" s="375"/>
      <c r="D600" s="375"/>
      <c r="E600" s="375"/>
      <c r="F600" s="375"/>
      <c r="G600" s="375"/>
      <c r="H600" s="375"/>
      <c r="I600" s="375"/>
      <c r="J600" s="375"/>
      <c r="K600" s="375"/>
    </row>
    <row r="601" spans="1:11" ht="12.75">
      <c r="A601" s="375"/>
      <c r="B601" s="375"/>
      <c r="C601" s="375"/>
      <c r="D601" s="375"/>
      <c r="E601" s="375"/>
      <c r="F601" s="375"/>
      <c r="G601" s="375"/>
      <c r="H601" s="375"/>
      <c r="I601" s="375"/>
      <c r="J601" s="375"/>
      <c r="K601" s="375"/>
    </row>
    <row r="602" spans="1:11" ht="12.75">
      <c r="A602" s="375"/>
      <c r="B602" s="375"/>
      <c r="C602" s="375"/>
      <c r="D602" s="375"/>
      <c r="E602" s="375"/>
      <c r="F602" s="375"/>
      <c r="G602" s="375"/>
      <c r="H602" s="375"/>
      <c r="I602" s="375"/>
      <c r="J602" s="375"/>
      <c r="K602" s="375"/>
    </row>
    <row r="603" spans="1:11" ht="12.75">
      <c r="A603" s="375"/>
      <c r="B603" s="375"/>
      <c r="C603" s="375"/>
      <c r="D603" s="375"/>
      <c r="E603" s="375"/>
      <c r="F603" s="375"/>
      <c r="G603" s="375"/>
      <c r="H603" s="375"/>
      <c r="I603" s="375"/>
      <c r="J603" s="375"/>
      <c r="K603" s="375"/>
    </row>
    <row r="604" spans="1:11" ht="12.75">
      <c r="A604" s="375"/>
      <c r="B604" s="375"/>
      <c r="C604" s="375"/>
      <c r="D604" s="375"/>
      <c r="E604" s="375"/>
      <c r="F604" s="375"/>
      <c r="G604" s="375"/>
      <c r="H604" s="375"/>
      <c r="I604" s="375"/>
      <c r="J604" s="375"/>
      <c r="K604" s="375"/>
    </row>
    <row r="605" spans="1:11" ht="12.75">
      <c r="A605" s="375"/>
      <c r="B605" s="375"/>
      <c r="C605" s="375"/>
      <c r="D605" s="375"/>
      <c r="E605" s="375"/>
      <c r="F605" s="375"/>
      <c r="G605" s="375"/>
      <c r="H605" s="375"/>
      <c r="I605" s="375"/>
      <c r="J605" s="375"/>
      <c r="K605" s="375"/>
    </row>
    <row r="606" spans="1:11" ht="12.75">
      <c r="A606" s="375"/>
      <c r="B606" s="375"/>
      <c r="C606" s="375"/>
      <c r="D606" s="375"/>
      <c r="E606" s="375"/>
      <c r="F606" s="375"/>
      <c r="G606" s="375"/>
      <c r="H606" s="375"/>
      <c r="I606" s="375"/>
      <c r="J606" s="375"/>
      <c r="K606" s="375"/>
    </row>
    <row r="607" spans="1:11" ht="12.75">
      <c r="A607" s="375"/>
      <c r="B607" s="375"/>
      <c r="C607" s="375"/>
      <c r="D607" s="375"/>
      <c r="E607" s="375"/>
      <c r="F607" s="375"/>
      <c r="G607" s="375"/>
      <c r="H607" s="375"/>
      <c r="I607" s="375"/>
      <c r="J607" s="375"/>
      <c r="K607" s="375"/>
    </row>
    <row r="608" spans="1:11" ht="12.75">
      <c r="A608" s="375"/>
      <c r="B608" s="375"/>
      <c r="C608" s="375"/>
      <c r="D608" s="375"/>
      <c r="E608" s="375"/>
      <c r="F608" s="375"/>
      <c r="G608" s="375"/>
      <c r="H608" s="375"/>
      <c r="I608" s="375"/>
      <c r="J608" s="375"/>
      <c r="K608" s="375"/>
    </row>
    <row r="609" spans="1:11" ht="12.75">
      <c r="A609" s="375"/>
      <c r="B609" s="375"/>
      <c r="C609" s="375"/>
      <c r="D609" s="375"/>
      <c r="E609" s="375"/>
      <c r="F609" s="375"/>
      <c r="G609" s="375"/>
      <c r="H609" s="375"/>
      <c r="I609" s="375"/>
      <c r="J609" s="375"/>
      <c r="K609" s="375"/>
    </row>
    <row r="610" spans="1:11" ht="12.75">
      <c r="A610" s="375"/>
      <c r="B610" s="375"/>
      <c r="C610" s="375"/>
      <c r="D610" s="375"/>
      <c r="E610" s="375"/>
      <c r="F610" s="375"/>
      <c r="G610" s="375"/>
      <c r="H610" s="375"/>
      <c r="I610" s="375"/>
      <c r="J610" s="375"/>
      <c r="K610" s="375"/>
    </row>
    <row r="611" spans="1:11" ht="12.75">
      <c r="A611" s="375"/>
      <c r="B611" s="375"/>
      <c r="C611" s="375"/>
      <c r="D611" s="375"/>
      <c r="E611" s="375"/>
      <c r="F611" s="375"/>
      <c r="G611" s="375"/>
      <c r="H611" s="375"/>
      <c r="I611" s="375"/>
      <c r="J611" s="375"/>
      <c r="K611" s="375"/>
    </row>
    <row r="612" spans="1:11" ht="12.75">
      <c r="A612" s="375"/>
      <c r="B612" s="375"/>
      <c r="C612" s="375"/>
      <c r="D612" s="375"/>
      <c r="E612" s="375"/>
      <c r="F612" s="375"/>
      <c r="G612" s="375"/>
      <c r="H612" s="375"/>
      <c r="I612" s="375"/>
      <c r="J612" s="375"/>
      <c r="K612" s="375"/>
    </row>
    <row r="613" spans="1:11" ht="12.75">
      <c r="A613" s="375"/>
      <c r="B613" s="375"/>
      <c r="C613" s="375"/>
      <c r="D613" s="375"/>
      <c r="E613" s="375"/>
      <c r="F613" s="375"/>
      <c r="G613" s="375"/>
      <c r="H613" s="375"/>
      <c r="I613" s="375"/>
      <c r="J613" s="375"/>
      <c r="K613" s="375"/>
    </row>
    <row r="614" spans="1:11" ht="12.75">
      <c r="A614" s="375"/>
      <c r="B614" s="375"/>
      <c r="C614" s="375"/>
      <c r="D614" s="375"/>
      <c r="E614" s="375"/>
      <c r="F614" s="375"/>
      <c r="G614" s="375"/>
      <c r="H614" s="375"/>
      <c r="I614" s="375"/>
      <c r="J614" s="375"/>
      <c r="K614" s="375"/>
    </row>
    <row r="615" spans="1:11" ht="12.75">
      <c r="A615" s="375"/>
      <c r="B615" s="375"/>
      <c r="C615" s="375"/>
      <c r="D615" s="375"/>
      <c r="E615" s="375"/>
      <c r="F615" s="375"/>
      <c r="G615" s="375"/>
      <c r="H615" s="375"/>
      <c r="I615" s="375"/>
      <c r="J615" s="375"/>
      <c r="K615" s="375"/>
    </row>
    <row r="616" spans="1:11" ht="12.75">
      <c r="A616" s="375"/>
      <c r="B616" s="375"/>
      <c r="C616" s="375"/>
      <c r="D616" s="375"/>
      <c r="E616" s="375"/>
      <c r="F616" s="375"/>
      <c r="G616" s="375"/>
      <c r="H616" s="375"/>
      <c r="I616" s="375"/>
      <c r="J616" s="375"/>
      <c r="K616" s="375"/>
    </row>
    <row r="617" spans="1:11" ht="12.75">
      <c r="A617" s="375"/>
      <c r="B617" s="375"/>
      <c r="C617" s="375"/>
      <c r="D617" s="375"/>
      <c r="E617" s="375"/>
      <c r="F617" s="375"/>
      <c r="G617" s="375"/>
      <c r="H617" s="375"/>
      <c r="I617" s="375"/>
      <c r="J617" s="375"/>
      <c r="K617" s="375"/>
    </row>
    <row r="618" spans="1:11" ht="12.75">
      <c r="A618" s="375"/>
      <c r="B618" s="375"/>
      <c r="C618" s="375"/>
      <c r="D618" s="375"/>
      <c r="E618" s="375"/>
      <c r="F618" s="375"/>
      <c r="G618" s="375"/>
      <c r="H618" s="375"/>
      <c r="I618" s="375"/>
      <c r="J618" s="375"/>
      <c r="K618" s="375"/>
    </row>
    <row r="619" spans="1:11" ht="12.75">
      <c r="A619" s="375"/>
      <c r="B619" s="375"/>
      <c r="C619" s="375"/>
      <c r="D619" s="375"/>
      <c r="E619" s="375"/>
      <c r="F619" s="375"/>
      <c r="G619" s="375"/>
      <c r="H619" s="375"/>
      <c r="I619" s="375"/>
      <c r="J619" s="375"/>
      <c r="K619" s="375"/>
    </row>
    <row r="620" spans="1:11" ht="12.75">
      <c r="A620" s="375"/>
      <c r="B620" s="375"/>
      <c r="C620" s="375"/>
      <c r="D620" s="375"/>
      <c r="E620" s="375"/>
      <c r="F620" s="375"/>
      <c r="G620" s="375"/>
      <c r="H620" s="375"/>
      <c r="I620" s="375"/>
      <c r="J620" s="375"/>
      <c r="K620" s="375"/>
    </row>
    <row r="621" spans="1:11" ht="12.75">
      <c r="A621" s="375"/>
      <c r="B621" s="375"/>
      <c r="C621" s="375"/>
      <c r="D621" s="375"/>
      <c r="E621" s="375"/>
      <c r="F621" s="375"/>
      <c r="G621" s="375"/>
      <c r="H621" s="375"/>
      <c r="I621" s="375"/>
      <c r="J621" s="375"/>
      <c r="K621" s="375"/>
    </row>
    <row r="622" spans="1:11" ht="12.75">
      <c r="A622" s="375"/>
      <c r="B622" s="375"/>
      <c r="C622" s="375"/>
      <c r="D622" s="375"/>
      <c r="E622" s="375"/>
      <c r="F622" s="375"/>
      <c r="G622" s="375"/>
      <c r="H622" s="375"/>
      <c r="I622" s="375"/>
      <c r="J622" s="375"/>
      <c r="K622" s="375"/>
    </row>
    <row r="623" spans="1:11" ht="12.75">
      <c r="A623" s="375"/>
      <c r="B623" s="375"/>
      <c r="C623" s="375"/>
      <c r="D623" s="375"/>
      <c r="E623" s="375"/>
      <c r="F623" s="375"/>
      <c r="G623" s="375"/>
      <c r="H623" s="375"/>
      <c r="I623" s="375"/>
      <c r="J623" s="375"/>
      <c r="K623" s="375"/>
    </row>
    <row r="624" spans="1:11" ht="12.75">
      <c r="A624" s="375"/>
      <c r="B624" s="375"/>
      <c r="C624" s="375"/>
      <c r="D624" s="375"/>
      <c r="E624" s="375"/>
      <c r="F624" s="375"/>
      <c r="G624" s="375"/>
      <c r="H624" s="375"/>
      <c r="I624" s="375"/>
      <c r="J624" s="375"/>
      <c r="K624" s="375"/>
    </row>
    <row r="625" spans="1:11" ht="12.75">
      <c r="A625" s="375"/>
      <c r="B625" s="375"/>
      <c r="C625" s="375"/>
      <c r="D625" s="375"/>
      <c r="E625" s="375"/>
      <c r="F625" s="375"/>
      <c r="G625" s="375"/>
      <c r="H625" s="375"/>
      <c r="I625" s="375"/>
      <c r="J625" s="375"/>
      <c r="K625" s="375"/>
    </row>
    <row r="626" spans="1:11" ht="12.75">
      <c r="A626" s="375"/>
      <c r="B626" s="375"/>
      <c r="C626" s="375"/>
      <c r="D626" s="375"/>
      <c r="E626" s="375"/>
      <c r="F626" s="375"/>
      <c r="G626" s="375"/>
      <c r="H626" s="375"/>
      <c r="I626" s="375"/>
      <c r="J626" s="375"/>
      <c r="K626" s="375"/>
    </row>
    <row r="627" spans="1:11" ht="12.75">
      <c r="A627" s="375"/>
      <c r="B627" s="375"/>
      <c r="C627" s="375"/>
      <c r="D627" s="375"/>
      <c r="E627" s="375"/>
      <c r="F627" s="375"/>
      <c r="G627" s="375"/>
      <c r="H627" s="375"/>
      <c r="I627" s="375"/>
      <c r="J627" s="375"/>
      <c r="K627" s="375"/>
    </row>
    <row r="628" spans="1:11" ht="12.75">
      <c r="A628" s="375"/>
      <c r="B628" s="375"/>
      <c r="C628" s="375"/>
      <c r="D628" s="375"/>
      <c r="E628" s="375"/>
      <c r="F628" s="375"/>
      <c r="G628" s="375"/>
      <c r="H628" s="375"/>
      <c r="I628" s="375"/>
      <c r="J628" s="375"/>
      <c r="K628" s="375"/>
    </row>
    <row r="629" spans="1:11" ht="12.75">
      <c r="A629" s="375"/>
      <c r="B629" s="375"/>
      <c r="C629" s="375"/>
      <c r="D629" s="375"/>
      <c r="E629" s="375"/>
      <c r="F629" s="375"/>
      <c r="G629" s="375"/>
      <c r="H629" s="375"/>
      <c r="I629" s="375"/>
      <c r="J629" s="375"/>
      <c r="K629" s="375"/>
    </row>
    <row r="630" spans="1:11" ht="12.75">
      <c r="A630" s="375"/>
      <c r="B630" s="375"/>
      <c r="C630" s="375"/>
      <c r="D630" s="375"/>
      <c r="E630" s="375"/>
      <c r="F630" s="375"/>
      <c r="G630" s="375"/>
      <c r="H630" s="375"/>
      <c r="I630" s="375"/>
      <c r="J630" s="375"/>
      <c r="K630" s="375"/>
    </row>
    <row r="631" spans="1:11" ht="12.75">
      <c r="A631" s="375"/>
      <c r="B631" s="375"/>
      <c r="C631" s="375"/>
      <c r="D631" s="375"/>
      <c r="E631" s="375"/>
      <c r="F631" s="375"/>
      <c r="G631" s="375"/>
      <c r="H631" s="375"/>
      <c r="I631" s="375"/>
      <c r="J631" s="375"/>
      <c r="K631" s="375"/>
    </row>
    <row r="632" spans="1:11" ht="12.75">
      <c r="A632" s="375"/>
      <c r="B632" s="375"/>
      <c r="C632" s="375"/>
      <c r="D632" s="375"/>
      <c r="E632" s="375"/>
      <c r="F632" s="375"/>
      <c r="G632" s="375"/>
      <c r="H632" s="375"/>
      <c r="I632" s="375"/>
      <c r="J632" s="375"/>
      <c r="K632" s="375"/>
    </row>
    <row r="633" spans="1:11" ht="12.75">
      <c r="A633" s="375"/>
      <c r="B633" s="375"/>
      <c r="C633" s="375"/>
      <c r="D633" s="375"/>
      <c r="E633" s="375"/>
      <c r="F633" s="375"/>
      <c r="G633" s="375"/>
      <c r="H633" s="375"/>
      <c r="I633" s="375"/>
      <c r="J633" s="375"/>
      <c r="K633" s="375"/>
    </row>
    <row r="634" spans="1:11" ht="12.75">
      <c r="A634" s="375"/>
      <c r="B634" s="375"/>
      <c r="C634" s="375"/>
      <c r="D634" s="375"/>
      <c r="E634" s="375"/>
      <c r="F634" s="375"/>
      <c r="G634" s="375"/>
      <c r="H634" s="375"/>
      <c r="I634" s="375"/>
      <c r="J634" s="375"/>
      <c r="K634" s="375"/>
    </row>
    <row r="635" spans="1:11" ht="12.75">
      <c r="A635" s="375"/>
      <c r="B635" s="375"/>
      <c r="C635" s="375"/>
      <c r="D635" s="375"/>
      <c r="E635" s="375"/>
      <c r="F635" s="375"/>
      <c r="G635" s="375"/>
      <c r="H635" s="375"/>
      <c r="I635" s="375"/>
      <c r="J635" s="375"/>
      <c r="K635" s="375"/>
    </row>
    <row r="636" spans="1:11" ht="12.75">
      <c r="A636" s="375"/>
      <c r="B636" s="375"/>
      <c r="C636" s="375"/>
      <c r="D636" s="375"/>
      <c r="E636" s="375"/>
      <c r="F636" s="375"/>
      <c r="G636" s="375"/>
      <c r="H636" s="375"/>
      <c r="I636" s="375"/>
      <c r="J636" s="375"/>
      <c r="K636" s="375"/>
    </row>
    <row r="637" spans="1:11" ht="12.75">
      <c r="A637" s="375"/>
      <c r="B637" s="375"/>
      <c r="C637" s="375"/>
      <c r="D637" s="375"/>
      <c r="E637" s="375"/>
      <c r="F637" s="375"/>
      <c r="G637" s="375"/>
      <c r="H637" s="375"/>
      <c r="I637" s="375"/>
      <c r="J637" s="375"/>
      <c r="K637" s="375"/>
    </row>
    <row r="638" spans="1:11" ht="12.75">
      <c r="A638" s="375"/>
      <c r="B638" s="375"/>
      <c r="C638" s="375"/>
      <c r="D638" s="375"/>
      <c r="E638" s="375"/>
      <c r="F638" s="375"/>
      <c r="G638" s="375"/>
      <c r="H638" s="375"/>
      <c r="I638" s="375"/>
      <c r="J638" s="375"/>
      <c r="K638" s="375"/>
    </row>
    <row r="639" spans="1:11" ht="12.75">
      <c r="A639" s="375"/>
      <c r="B639" s="375"/>
      <c r="C639" s="375"/>
      <c r="D639" s="375"/>
      <c r="E639" s="375"/>
      <c r="F639" s="375"/>
      <c r="G639" s="375"/>
      <c r="H639" s="375"/>
      <c r="I639" s="375"/>
      <c r="J639" s="375"/>
      <c r="K639" s="375"/>
    </row>
    <row r="640" spans="1:11" ht="12.75">
      <c r="A640" s="375"/>
      <c r="B640" s="375"/>
      <c r="C640" s="375"/>
      <c r="D640" s="375"/>
      <c r="E640" s="375"/>
      <c r="F640" s="375"/>
      <c r="G640" s="375"/>
      <c r="H640" s="375"/>
      <c r="I640" s="375"/>
      <c r="J640" s="375"/>
      <c r="K640" s="375"/>
    </row>
    <row r="641" spans="1:11" ht="12.75">
      <c r="A641" s="375"/>
      <c r="B641" s="375"/>
      <c r="C641" s="375"/>
      <c r="D641" s="375"/>
      <c r="E641" s="375"/>
      <c r="F641" s="375"/>
      <c r="G641" s="375"/>
      <c r="H641" s="375"/>
      <c r="I641" s="375"/>
      <c r="J641" s="375"/>
      <c r="K641" s="375"/>
    </row>
    <row r="642" spans="1:11" ht="12.75">
      <c r="A642" s="375"/>
      <c r="B642" s="375"/>
      <c r="C642" s="375"/>
      <c r="D642" s="375"/>
      <c r="E642" s="375"/>
      <c r="F642" s="375"/>
      <c r="G642" s="375"/>
      <c r="H642" s="375"/>
      <c r="I642" s="375"/>
      <c r="J642" s="375"/>
      <c r="K642" s="375"/>
    </row>
    <row r="643" spans="1:11" ht="12.75">
      <c r="A643" s="375"/>
      <c r="B643" s="375"/>
      <c r="C643" s="375"/>
      <c r="D643" s="375"/>
      <c r="E643" s="375"/>
      <c r="F643" s="375"/>
      <c r="G643" s="375"/>
      <c r="H643" s="375"/>
      <c r="I643" s="375"/>
      <c r="J643" s="375"/>
      <c r="K643" s="375"/>
    </row>
    <row r="644" spans="1:11" ht="12.75">
      <c r="A644" s="375"/>
      <c r="B644" s="375"/>
      <c r="C644" s="375"/>
      <c r="D644" s="375"/>
      <c r="E644" s="375"/>
      <c r="F644" s="375"/>
      <c r="G644" s="375"/>
      <c r="H644" s="375"/>
      <c r="I644" s="375"/>
      <c r="J644" s="375"/>
      <c r="K644" s="375"/>
    </row>
    <row r="645" spans="1:11" ht="12.75">
      <c r="A645" s="375"/>
      <c r="B645" s="375"/>
      <c r="C645" s="375"/>
      <c r="D645" s="375"/>
      <c r="E645" s="375"/>
      <c r="F645" s="375"/>
      <c r="G645" s="375"/>
      <c r="H645" s="375"/>
      <c r="I645" s="375"/>
      <c r="J645" s="375"/>
      <c r="K645" s="375"/>
    </row>
    <row r="646" spans="1:11" ht="12.75">
      <c r="A646" s="375"/>
      <c r="B646" s="375"/>
      <c r="C646" s="375"/>
      <c r="D646" s="375"/>
      <c r="E646" s="375"/>
      <c r="F646" s="375"/>
      <c r="G646" s="375"/>
      <c r="H646" s="375"/>
      <c r="I646" s="375"/>
      <c r="J646" s="375"/>
      <c r="K646" s="375"/>
    </row>
    <row r="647" spans="1:11" ht="12.75">
      <c r="A647" s="375"/>
      <c r="B647" s="375"/>
      <c r="C647" s="375"/>
      <c r="D647" s="375"/>
      <c r="E647" s="375"/>
      <c r="F647" s="375"/>
      <c r="G647" s="375"/>
      <c r="H647" s="375"/>
      <c r="I647" s="375"/>
      <c r="J647" s="375"/>
      <c r="K647" s="375"/>
    </row>
    <row r="648" spans="1:11" ht="12.75">
      <c r="A648" s="375"/>
      <c r="B648" s="375"/>
      <c r="C648" s="375"/>
      <c r="D648" s="375"/>
      <c r="E648" s="375"/>
      <c r="F648" s="375"/>
      <c r="G648" s="375"/>
      <c r="H648" s="375"/>
      <c r="I648" s="375"/>
      <c r="J648" s="375"/>
      <c r="K648" s="375"/>
    </row>
    <row r="649" spans="1:11" ht="12.75">
      <c r="A649" s="375"/>
      <c r="B649" s="375"/>
      <c r="C649" s="375"/>
      <c r="D649" s="375"/>
      <c r="E649" s="375"/>
      <c r="F649" s="375"/>
      <c r="G649" s="375"/>
      <c r="H649" s="375"/>
      <c r="I649" s="375"/>
      <c r="J649" s="375"/>
      <c r="K649" s="375"/>
    </row>
    <row r="650" spans="1:11" ht="12.75">
      <c r="A650" s="375"/>
      <c r="B650" s="375"/>
      <c r="C650" s="375"/>
      <c r="D650" s="375"/>
      <c r="E650" s="375"/>
      <c r="F650" s="375"/>
      <c r="G650" s="375"/>
      <c r="H650" s="375"/>
      <c r="I650" s="375"/>
      <c r="J650" s="375"/>
      <c r="K650" s="375"/>
    </row>
    <row r="651" spans="1:11" ht="12.75">
      <c r="A651" s="375"/>
      <c r="B651" s="375"/>
      <c r="C651" s="375"/>
      <c r="D651" s="375"/>
      <c r="E651" s="375"/>
      <c r="F651" s="375"/>
      <c r="G651" s="375"/>
      <c r="H651" s="375"/>
      <c r="I651" s="375"/>
      <c r="J651" s="375"/>
      <c r="K651" s="375"/>
    </row>
    <row r="652" spans="1:11" ht="12.75">
      <c r="A652" s="375"/>
      <c r="B652" s="375"/>
      <c r="C652" s="375"/>
      <c r="D652" s="375"/>
      <c r="E652" s="375"/>
      <c r="F652" s="375"/>
      <c r="G652" s="375"/>
      <c r="H652" s="375"/>
      <c r="I652" s="375"/>
      <c r="J652" s="375"/>
      <c r="K652" s="375"/>
    </row>
    <row r="653" spans="1:11" ht="12.75">
      <c r="A653" s="375"/>
      <c r="B653" s="375"/>
      <c r="C653" s="375"/>
      <c r="D653" s="375"/>
      <c r="E653" s="375"/>
      <c r="F653" s="375"/>
      <c r="G653" s="375"/>
      <c r="H653" s="375"/>
      <c r="I653" s="375"/>
      <c r="J653" s="375"/>
      <c r="K653" s="375"/>
    </row>
    <row r="654" spans="1:11" ht="12.75">
      <c r="A654" s="375"/>
      <c r="B654" s="375"/>
      <c r="C654" s="375"/>
      <c r="D654" s="375"/>
      <c r="E654" s="375"/>
      <c r="F654" s="375"/>
      <c r="G654" s="375"/>
      <c r="H654" s="375"/>
      <c r="I654" s="375"/>
      <c r="J654" s="375"/>
      <c r="K654" s="375"/>
    </row>
    <row r="655" spans="1:11" ht="12.75">
      <c r="A655" s="375"/>
      <c r="B655" s="375"/>
      <c r="C655" s="375"/>
      <c r="D655" s="375"/>
      <c r="E655" s="375"/>
      <c r="F655" s="375"/>
      <c r="G655" s="375"/>
      <c r="H655" s="375"/>
      <c r="I655" s="375"/>
      <c r="J655" s="375"/>
      <c r="K655" s="375"/>
    </row>
    <row r="656" spans="1:11" ht="12.75">
      <c r="A656" s="375"/>
      <c r="B656" s="375"/>
      <c r="C656" s="375"/>
      <c r="D656" s="375"/>
      <c r="E656" s="375"/>
      <c r="F656" s="375"/>
      <c r="G656" s="375"/>
      <c r="H656" s="375"/>
      <c r="I656" s="375"/>
      <c r="J656" s="375"/>
      <c r="K656" s="375"/>
    </row>
    <row r="657" spans="1:11" ht="12.75">
      <c r="A657" s="375"/>
      <c r="B657" s="375"/>
      <c r="C657" s="375"/>
      <c r="D657" s="375"/>
      <c r="E657" s="375"/>
      <c r="F657" s="375"/>
      <c r="G657" s="375"/>
      <c r="H657" s="375"/>
      <c r="I657" s="375"/>
      <c r="J657" s="375"/>
      <c r="K657" s="375"/>
    </row>
    <row r="658" spans="1:11" ht="12.75">
      <c r="A658" s="375"/>
      <c r="B658" s="375"/>
      <c r="C658" s="375"/>
      <c r="D658" s="375"/>
      <c r="E658" s="375"/>
      <c r="F658" s="375"/>
      <c r="G658" s="375"/>
      <c r="H658" s="375"/>
      <c r="I658" s="375"/>
      <c r="J658" s="375"/>
      <c r="K658" s="375"/>
    </row>
    <row r="659" spans="1:11" ht="12.75">
      <c r="A659" s="375"/>
      <c r="B659" s="375"/>
      <c r="C659" s="375"/>
      <c r="D659" s="375"/>
      <c r="E659" s="375"/>
      <c r="F659" s="375"/>
      <c r="G659" s="375"/>
      <c r="H659" s="375"/>
      <c r="I659" s="375"/>
      <c r="J659" s="375"/>
      <c r="K659" s="375"/>
    </row>
    <row r="660" spans="1:11" ht="12.75">
      <c r="A660" s="375"/>
      <c r="B660" s="375"/>
      <c r="C660" s="375"/>
      <c r="D660" s="375"/>
      <c r="E660" s="375"/>
      <c r="F660" s="375"/>
      <c r="G660" s="375"/>
      <c r="H660" s="375"/>
      <c r="I660" s="375"/>
      <c r="J660" s="375"/>
      <c r="K660" s="375"/>
    </row>
    <row r="661" spans="1:11" ht="12.75">
      <c r="A661" s="375"/>
      <c r="B661" s="375"/>
      <c r="C661" s="375"/>
      <c r="D661" s="375"/>
      <c r="E661" s="375"/>
      <c r="F661" s="375"/>
      <c r="G661" s="375"/>
      <c r="H661" s="375"/>
      <c r="I661" s="375"/>
      <c r="J661" s="375"/>
      <c r="K661" s="375"/>
    </row>
    <row r="662" spans="1:11" ht="12.75">
      <c r="A662" s="375"/>
      <c r="B662" s="375"/>
      <c r="C662" s="375"/>
      <c r="D662" s="375"/>
      <c r="E662" s="375"/>
      <c r="F662" s="375"/>
      <c r="G662" s="375"/>
      <c r="H662" s="375"/>
      <c r="I662" s="375"/>
      <c r="J662" s="375"/>
      <c r="K662" s="375"/>
    </row>
    <row r="663" spans="1:11" ht="12.75">
      <c r="A663" s="375"/>
      <c r="B663" s="375"/>
      <c r="C663" s="375"/>
      <c r="D663" s="375"/>
      <c r="E663" s="375"/>
      <c r="F663" s="375"/>
      <c r="G663" s="375"/>
      <c r="H663" s="375"/>
      <c r="I663" s="375"/>
      <c r="J663" s="375"/>
      <c r="K663" s="375"/>
    </row>
    <row r="664" spans="1:11" ht="12.75">
      <c r="A664" s="375"/>
      <c r="B664" s="375"/>
      <c r="C664" s="375"/>
      <c r="D664" s="375"/>
      <c r="E664" s="375"/>
      <c r="F664" s="375"/>
      <c r="G664" s="375"/>
      <c r="H664" s="375"/>
      <c r="I664" s="375"/>
      <c r="J664" s="375"/>
      <c r="K664" s="375"/>
    </row>
    <row r="665" spans="1:11" ht="12.75">
      <c r="A665" s="375"/>
      <c r="B665" s="375"/>
      <c r="C665" s="375"/>
      <c r="D665" s="375"/>
      <c r="E665" s="375"/>
      <c r="F665" s="375"/>
      <c r="G665" s="375"/>
      <c r="H665" s="375"/>
      <c r="I665" s="375"/>
      <c r="J665" s="375"/>
      <c r="K665" s="375"/>
    </row>
    <row r="666" spans="1:11" ht="12.75">
      <c r="A666" s="375"/>
      <c r="B666" s="375"/>
      <c r="C666" s="375"/>
      <c r="D666" s="375"/>
      <c r="E666" s="375"/>
      <c r="F666" s="375"/>
      <c r="G666" s="375"/>
      <c r="H666" s="375"/>
      <c r="I666" s="375"/>
      <c r="J666" s="375"/>
      <c r="K666" s="375"/>
    </row>
    <row r="667" spans="1:11" ht="12.75">
      <c r="A667" s="375"/>
      <c r="B667" s="375"/>
      <c r="C667" s="375"/>
      <c r="D667" s="375"/>
      <c r="E667" s="375"/>
      <c r="F667" s="375"/>
      <c r="G667" s="375"/>
      <c r="H667" s="375"/>
      <c r="I667" s="375"/>
      <c r="J667" s="375"/>
      <c r="K667" s="375"/>
    </row>
    <row r="668" spans="1:11" ht="12.75">
      <c r="A668" s="375"/>
      <c r="B668" s="375"/>
      <c r="C668" s="375"/>
      <c r="D668" s="375"/>
      <c r="E668" s="375"/>
      <c r="F668" s="375"/>
      <c r="G668" s="375"/>
      <c r="H668" s="375"/>
      <c r="I668" s="375"/>
      <c r="J668" s="375"/>
      <c r="K668" s="375"/>
    </row>
    <row r="669" spans="1:11" ht="12.75">
      <c r="A669" s="375"/>
      <c r="B669" s="375"/>
      <c r="C669" s="375"/>
      <c r="D669" s="375"/>
      <c r="E669" s="375"/>
      <c r="F669" s="375"/>
      <c r="G669" s="375"/>
      <c r="H669" s="375"/>
      <c r="I669" s="375"/>
      <c r="J669" s="375"/>
      <c r="K669" s="375"/>
    </row>
    <row r="670" spans="1:11" ht="12.75">
      <c r="A670" s="375"/>
      <c r="B670" s="375"/>
      <c r="C670" s="375"/>
      <c r="D670" s="375"/>
      <c r="E670" s="375"/>
      <c r="F670" s="375"/>
      <c r="G670" s="375"/>
      <c r="H670" s="375"/>
      <c r="I670" s="375"/>
      <c r="J670" s="375"/>
      <c r="K670" s="375"/>
    </row>
    <row r="671" spans="1:11" ht="12.75">
      <c r="A671" s="375"/>
      <c r="B671" s="375"/>
      <c r="C671" s="375"/>
      <c r="D671" s="375"/>
      <c r="E671" s="375"/>
      <c r="F671" s="375"/>
      <c r="G671" s="375"/>
      <c r="H671" s="375"/>
      <c r="I671" s="375"/>
      <c r="J671" s="375"/>
      <c r="K671" s="375"/>
    </row>
    <row r="672" spans="1:11" ht="12.75">
      <c r="A672" s="375"/>
      <c r="B672" s="375"/>
      <c r="C672" s="375"/>
      <c r="D672" s="375"/>
      <c r="E672" s="375"/>
      <c r="F672" s="375"/>
      <c r="G672" s="375"/>
      <c r="H672" s="375"/>
      <c r="I672" s="375"/>
      <c r="J672" s="375"/>
      <c r="K672" s="375"/>
    </row>
    <row r="673" spans="1:11" ht="12.75">
      <c r="A673" s="375"/>
      <c r="B673" s="375"/>
      <c r="C673" s="375"/>
      <c r="D673" s="375"/>
      <c r="E673" s="375"/>
      <c r="F673" s="375"/>
      <c r="G673" s="375"/>
      <c r="H673" s="375"/>
      <c r="I673" s="375"/>
      <c r="J673" s="375"/>
      <c r="K673" s="375"/>
    </row>
    <row r="674" spans="1:11" ht="12.75">
      <c r="A674" s="375"/>
      <c r="B674" s="375"/>
      <c r="C674" s="375"/>
      <c r="D674" s="375"/>
      <c r="E674" s="375"/>
      <c r="F674" s="375"/>
      <c r="G674" s="375"/>
      <c r="H674" s="375"/>
      <c r="I674" s="375"/>
      <c r="J674" s="375"/>
      <c r="K674" s="375"/>
    </row>
    <row r="675" spans="1:11" ht="12.75">
      <c r="A675" s="375"/>
      <c r="B675" s="375"/>
      <c r="C675" s="375"/>
      <c r="D675" s="375"/>
      <c r="E675" s="375"/>
      <c r="F675" s="375"/>
      <c r="G675" s="375"/>
      <c r="H675" s="375"/>
      <c r="I675" s="375"/>
      <c r="J675" s="375"/>
      <c r="K675" s="375"/>
    </row>
    <row r="676" spans="1:11" ht="12.75">
      <c r="A676" s="375"/>
      <c r="B676" s="375"/>
      <c r="C676" s="375"/>
      <c r="D676" s="375"/>
      <c r="E676" s="375"/>
      <c r="F676" s="375"/>
      <c r="G676" s="375"/>
      <c r="H676" s="375"/>
      <c r="I676" s="375"/>
      <c r="J676" s="375"/>
      <c r="K676" s="375"/>
    </row>
    <row r="677" spans="1:11" ht="12.75">
      <c r="A677" s="375"/>
      <c r="B677" s="375"/>
      <c r="C677" s="375"/>
      <c r="D677" s="375"/>
      <c r="E677" s="375"/>
      <c r="F677" s="375"/>
      <c r="G677" s="375"/>
      <c r="H677" s="375"/>
      <c r="I677" s="375"/>
      <c r="J677" s="375"/>
      <c r="K677" s="375"/>
    </row>
    <row r="678" spans="1:11" ht="12.75">
      <c r="A678" s="375"/>
      <c r="B678" s="375"/>
      <c r="C678" s="375"/>
      <c r="D678" s="375"/>
      <c r="E678" s="375"/>
      <c r="F678" s="375"/>
      <c r="G678" s="375"/>
      <c r="H678" s="375"/>
      <c r="I678" s="375"/>
      <c r="J678" s="375"/>
      <c r="K678" s="375"/>
    </row>
    <row r="679" spans="1:11" ht="12.75">
      <c r="A679" s="375"/>
      <c r="B679" s="375"/>
      <c r="C679" s="375"/>
      <c r="D679" s="375"/>
      <c r="E679" s="375"/>
      <c r="F679" s="375"/>
      <c r="G679" s="375"/>
      <c r="H679" s="375"/>
      <c r="I679" s="375"/>
      <c r="J679" s="375"/>
      <c r="K679" s="375"/>
    </row>
    <row r="680" spans="1:11" ht="12.75">
      <c r="A680" s="375"/>
      <c r="B680" s="375"/>
      <c r="C680" s="375"/>
      <c r="D680" s="375"/>
      <c r="E680" s="375"/>
      <c r="F680" s="375"/>
      <c r="G680" s="375"/>
      <c r="H680" s="375"/>
      <c r="I680" s="375"/>
      <c r="J680" s="375"/>
      <c r="K680" s="375"/>
    </row>
    <row r="681" spans="1:11" ht="12.75">
      <c r="A681" s="375"/>
      <c r="B681" s="375"/>
      <c r="C681" s="375"/>
      <c r="D681" s="375"/>
      <c r="E681" s="375"/>
      <c r="F681" s="375"/>
      <c r="G681" s="375"/>
      <c r="H681" s="375"/>
      <c r="I681" s="375"/>
      <c r="J681" s="375"/>
      <c r="K681" s="375"/>
    </row>
    <row r="682" spans="1:11" ht="12.75">
      <c r="A682" s="375"/>
      <c r="B682" s="375"/>
      <c r="C682" s="375"/>
      <c r="D682" s="375"/>
      <c r="E682" s="375"/>
      <c r="F682" s="375"/>
      <c r="G682" s="375"/>
      <c r="H682" s="375"/>
      <c r="I682" s="375"/>
      <c r="J682" s="375"/>
      <c r="K682" s="375"/>
    </row>
    <row r="683" spans="1:11" ht="12.75">
      <c r="A683" s="375"/>
      <c r="B683" s="375"/>
      <c r="C683" s="375"/>
      <c r="D683" s="375"/>
      <c r="E683" s="375"/>
      <c r="F683" s="375"/>
      <c r="G683" s="375"/>
      <c r="H683" s="375"/>
      <c r="I683" s="375"/>
      <c r="J683" s="375"/>
      <c r="K683" s="375"/>
    </row>
    <row r="684" spans="1:11" ht="12.75">
      <c r="A684" s="375"/>
      <c r="B684" s="375"/>
      <c r="C684" s="375"/>
      <c r="D684" s="375"/>
      <c r="E684" s="375"/>
      <c r="F684" s="375"/>
      <c r="G684" s="375"/>
      <c r="H684" s="375"/>
      <c r="I684" s="375"/>
      <c r="J684" s="375"/>
      <c r="K684" s="375"/>
    </row>
    <row r="685" spans="1:11" ht="12.75">
      <c r="A685" s="375"/>
      <c r="B685" s="375"/>
      <c r="C685" s="375"/>
      <c r="D685" s="375"/>
      <c r="E685" s="375"/>
      <c r="F685" s="375"/>
      <c r="G685" s="375"/>
      <c r="H685" s="375"/>
      <c r="I685" s="375"/>
      <c r="J685" s="375"/>
      <c r="K685" s="375"/>
    </row>
    <row r="686" spans="1:11" ht="12.75">
      <c r="A686" s="375"/>
      <c r="B686" s="375"/>
      <c r="C686" s="375"/>
      <c r="D686" s="375"/>
      <c r="E686" s="375"/>
      <c r="F686" s="375"/>
      <c r="G686" s="375"/>
      <c r="H686" s="375"/>
      <c r="I686" s="375"/>
      <c r="J686" s="375"/>
      <c r="K686" s="375"/>
    </row>
    <row r="687" spans="1:11" ht="12.75">
      <c r="A687" s="375"/>
      <c r="B687" s="375"/>
      <c r="C687" s="375"/>
      <c r="D687" s="375"/>
      <c r="E687" s="375"/>
      <c r="F687" s="375"/>
      <c r="G687" s="375"/>
      <c r="H687" s="375"/>
      <c r="I687" s="375"/>
      <c r="J687" s="375"/>
      <c r="K687" s="375"/>
    </row>
    <row r="688" spans="1:11" ht="12.75">
      <c r="A688" s="375"/>
      <c r="B688" s="375"/>
      <c r="C688" s="375"/>
      <c r="D688" s="375"/>
      <c r="E688" s="375"/>
      <c r="F688" s="375"/>
      <c r="G688" s="375"/>
      <c r="H688" s="375"/>
      <c r="I688" s="375"/>
      <c r="J688" s="375"/>
      <c r="K688" s="375"/>
    </row>
    <row r="689" spans="1:11" ht="12.75">
      <c r="A689" s="375"/>
      <c r="B689" s="375"/>
      <c r="C689" s="375"/>
      <c r="D689" s="375"/>
      <c r="E689" s="375"/>
      <c r="F689" s="375"/>
      <c r="G689" s="375"/>
      <c r="H689" s="375"/>
      <c r="I689" s="375"/>
      <c r="J689" s="375"/>
      <c r="K689" s="375"/>
    </row>
    <row r="690" spans="1:11" ht="12.75">
      <c r="A690" s="375"/>
      <c r="B690" s="375"/>
      <c r="C690" s="375"/>
      <c r="D690" s="375"/>
      <c r="E690" s="375"/>
      <c r="F690" s="375"/>
      <c r="G690" s="375"/>
      <c r="H690" s="375"/>
      <c r="I690" s="375"/>
      <c r="J690" s="375"/>
      <c r="K690" s="375"/>
    </row>
    <row r="691" spans="1:11" ht="12.75">
      <c r="A691" s="375"/>
      <c r="B691" s="375"/>
      <c r="C691" s="375"/>
      <c r="D691" s="375"/>
      <c r="E691" s="375"/>
      <c r="F691" s="375"/>
      <c r="G691" s="375"/>
      <c r="H691" s="375"/>
      <c r="I691" s="375"/>
      <c r="J691" s="375"/>
      <c r="K691" s="375"/>
    </row>
    <row r="692" spans="1:11" ht="12.75">
      <c r="A692" s="375"/>
      <c r="B692" s="375"/>
      <c r="C692" s="375"/>
      <c r="D692" s="375"/>
      <c r="E692" s="375"/>
      <c r="F692" s="375"/>
      <c r="G692" s="375"/>
      <c r="H692" s="375"/>
      <c r="I692" s="375"/>
      <c r="J692" s="375"/>
      <c r="K692" s="375"/>
    </row>
    <row r="693" spans="1:11" ht="12.75">
      <c r="A693" s="375"/>
      <c r="B693" s="375"/>
      <c r="C693" s="375"/>
      <c r="D693" s="375"/>
      <c r="E693" s="375"/>
      <c r="F693" s="375"/>
      <c r="G693" s="375"/>
      <c r="H693" s="375"/>
      <c r="I693" s="375"/>
      <c r="J693" s="375"/>
      <c r="K693" s="375"/>
    </row>
    <row r="694" spans="1:11" ht="12.75">
      <c r="A694" s="375"/>
      <c r="B694" s="375"/>
      <c r="C694" s="375"/>
      <c r="D694" s="375"/>
      <c r="E694" s="375"/>
      <c r="F694" s="375"/>
      <c r="G694" s="375"/>
      <c r="H694" s="375"/>
      <c r="I694" s="375"/>
      <c r="J694" s="375"/>
      <c r="K694" s="375"/>
    </row>
    <row r="695" spans="1:11" ht="12.75">
      <c r="A695" s="375"/>
      <c r="B695" s="375"/>
      <c r="C695" s="375"/>
      <c r="D695" s="375"/>
      <c r="E695" s="375"/>
      <c r="F695" s="375"/>
      <c r="G695" s="375"/>
      <c r="H695" s="375"/>
      <c r="I695" s="375"/>
      <c r="J695" s="375"/>
      <c r="K695" s="375"/>
    </row>
    <row r="696" spans="1:11" ht="12.75">
      <c r="A696" s="375"/>
      <c r="B696" s="375"/>
      <c r="C696" s="375"/>
      <c r="D696" s="375"/>
      <c r="E696" s="375"/>
      <c r="F696" s="375"/>
      <c r="G696" s="375"/>
      <c r="H696" s="375"/>
      <c r="I696" s="375"/>
      <c r="J696" s="375"/>
      <c r="K696" s="375"/>
    </row>
    <row r="697" spans="1:11" ht="12.75">
      <c r="A697" s="375"/>
      <c r="B697" s="375"/>
      <c r="C697" s="375"/>
      <c r="D697" s="375"/>
      <c r="E697" s="375"/>
      <c r="F697" s="375"/>
      <c r="G697" s="375"/>
      <c r="H697" s="375"/>
      <c r="I697" s="375"/>
      <c r="J697" s="375"/>
      <c r="K697" s="375"/>
    </row>
    <row r="698" spans="1:11" ht="12.75">
      <c r="A698" s="375"/>
      <c r="B698" s="375"/>
      <c r="C698" s="375"/>
      <c r="D698" s="375"/>
      <c r="E698" s="375"/>
      <c r="F698" s="375"/>
      <c r="G698" s="375"/>
      <c r="H698" s="375"/>
      <c r="I698" s="375"/>
      <c r="J698" s="375"/>
      <c r="K698" s="375"/>
    </row>
    <row r="699" spans="1:11" ht="12.75">
      <c r="A699" s="375"/>
      <c r="B699" s="375"/>
      <c r="C699" s="375"/>
      <c r="D699" s="375"/>
      <c r="E699" s="375"/>
      <c r="F699" s="375"/>
      <c r="G699" s="375"/>
      <c r="H699" s="375"/>
      <c r="I699" s="375"/>
      <c r="J699" s="375"/>
      <c r="K699" s="375"/>
    </row>
    <row r="700" spans="1:11" ht="12.75">
      <c r="A700" s="375"/>
      <c r="B700" s="375"/>
      <c r="C700" s="375"/>
      <c r="D700" s="375"/>
      <c r="E700" s="375"/>
      <c r="F700" s="375"/>
      <c r="G700" s="375"/>
      <c r="H700" s="375"/>
      <c r="I700" s="375"/>
      <c r="J700" s="375"/>
      <c r="K700" s="375"/>
    </row>
    <row r="701" spans="1:11" ht="12.75">
      <c r="A701" s="375"/>
      <c r="B701" s="375"/>
      <c r="C701" s="375"/>
      <c r="D701" s="375"/>
      <c r="E701" s="375"/>
      <c r="F701" s="375"/>
      <c r="G701" s="375"/>
      <c r="H701" s="375"/>
      <c r="I701" s="375"/>
      <c r="J701" s="375"/>
      <c r="K701" s="375"/>
    </row>
    <row r="702" spans="1:11" ht="12.75">
      <c r="A702" s="375"/>
      <c r="B702" s="375"/>
      <c r="C702" s="375"/>
      <c r="D702" s="375"/>
      <c r="E702" s="375"/>
      <c r="F702" s="375"/>
      <c r="G702" s="375"/>
      <c r="H702" s="375"/>
      <c r="I702" s="375"/>
      <c r="J702" s="375"/>
      <c r="K702" s="375"/>
    </row>
    <row r="703" spans="1:11" ht="12.75">
      <c r="A703" s="375"/>
      <c r="B703" s="375"/>
      <c r="C703" s="375"/>
      <c r="D703" s="375"/>
      <c r="E703" s="375"/>
      <c r="F703" s="375"/>
      <c r="G703" s="375"/>
      <c r="H703" s="375"/>
      <c r="I703" s="375"/>
      <c r="J703" s="375"/>
      <c r="K703" s="375"/>
    </row>
    <row r="704" spans="1:11" ht="12.75">
      <c r="A704" s="375"/>
      <c r="B704" s="375"/>
      <c r="C704" s="375"/>
      <c r="D704" s="375"/>
      <c r="E704" s="375"/>
      <c r="F704" s="375"/>
      <c r="G704" s="375"/>
      <c r="H704" s="375"/>
      <c r="I704" s="375"/>
      <c r="J704" s="375"/>
      <c r="K704" s="375"/>
    </row>
    <row r="705" spans="1:11" ht="12.75">
      <c r="A705" s="375"/>
      <c r="B705" s="375"/>
      <c r="C705" s="375"/>
      <c r="D705" s="375"/>
      <c r="E705" s="375"/>
      <c r="F705" s="375"/>
      <c r="G705" s="375"/>
      <c r="H705" s="375"/>
      <c r="I705" s="375"/>
      <c r="J705" s="375"/>
      <c r="K705" s="375"/>
    </row>
    <row r="706" spans="1:11" ht="12.75">
      <c r="A706" s="375"/>
      <c r="B706" s="375"/>
      <c r="C706" s="375"/>
      <c r="D706" s="375"/>
      <c r="E706" s="375"/>
      <c r="F706" s="375"/>
      <c r="G706" s="375"/>
      <c r="H706" s="375"/>
      <c r="I706" s="375"/>
      <c r="J706" s="375"/>
      <c r="K706" s="375"/>
    </row>
    <row r="707" spans="1:11" ht="12.75">
      <c r="A707" s="375"/>
      <c r="B707" s="375"/>
      <c r="C707" s="375"/>
      <c r="D707" s="375"/>
      <c r="E707" s="375"/>
      <c r="F707" s="375"/>
      <c r="G707" s="375"/>
      <c r="H707" s="375"/>
      <c r="I707" s="375"/>
      <c r="J707" s="375"/>
      <c r="K707" s="375"/>
    </row>
    <row r="708" spans="1:11" ht="12.75">
      <c r="A708" s="375"/>
      <c r="B708" s="375"/>
      <c r="C708" s="375"/>
      <c r="D708" s="375"/>
      <c r="E708" s="375"/>
      <c r="F708" s="375"/>
      <c r="G708" s="375"/>
      <c r="H708" s="375"/>
      <c r="I708" s="375"/>
      <c r="J708" s="375"/>
      <c r="K708" s="375"/>
    </row>
    <row r="709" spans="1:11" ht="12.75">
      <c r="A709" s="375"/>
      <c r="B709" s="375"/>
      <c r="C709" s="375"/>
      <c r="D709" s="375"/>
      <c r="E709" s="375"/>
      <c r="F709" s="375"/>
      <c r="G709" s="375"/>
      <c r="H709" s="375"/>
      <c r="I709" s="375"/>
      <c r="J709" s="375"/>
      <c r="K709" s="375"/>
    </row>
    <row r="710" spans="1:11" ht="12.75">
      <c r="A710" s="375"/>
      <c r="B710" s="375"/>
      <c r="C710" s="375"/>
      <c r="D710" s="375"/>
      <c r="E710" s="375"/>
      <c r="F710" s="375"/>
      <c r="G710" s="375"/>
      <c r="H710" s="375"/>
      <c r="I710" s="375"/>
      <c r="J710" s="375"/>
      <c r="K710" s="375"/>
    </row>
    <row r="711" spans="1:11" ht="12.75">
      <c r="A711" s="375"/>
      <c r="B711" s="375"/>
      <c r="C711" s="375"/>
      <c r="D711" s="375"/>
      <c r="E711" s="375"/>
      <c r="F711" s="375"/>
      <c r="G711" s="375"/>
      <c r="H711" s="375"/>
      <c r="I711" s="375"/>
      <c r="J711" s="375"/>
      <c r="K711" s="375"/>
    </row>
    <row r="712" spans="1:11" ht="12.75">
      <c r="A712" s="375"/>
      <c r="B712" s="375"/>
      <c r="C712" s="375"/>
      <c r="D712" s="375"/>
      <c r="E712" s="375"/>
      <c r="F712" s="375"/>
      <c r="G712" s="375"/>
      <c r="H712" s="375"/>
      <c r="I712" s="375"/>
      <c r="J712" s="375"/>
      <c r="K712" s="375"/>
    </row>
    <row r="713" spans="1:11" ht="12.75">
      <c r="A713" s="375"/>
      <c r="B713" s="375"/>
      <c r="C713" s="375"/>
      <c r="D713" s="375"/>
      <c r="E713" s="375"/>
      <c r="F713" s="375"/>
      <c r="G713" s="375"/>
      <c r="H713" s="375"/>
      <c r="I713" s="375"/>
      <c r="J713" s="375"/>
      <c r="K713" s="375"/>
    </row>
    <row r="714" spans="1:11" ht="12.75">
      <c r="A714" s="375"/>
      <c r="B714" s="375"/>
      <c r="C714" s="375"/>
      <c r="D714" s="375"/>
      <c r="E714" s="375"/>
      <c r="F714" s="375"/>
      <c r="G714" s="375"/>
      <c r="H714" s="375"/>
      <c r="I714" s="375"/>
      <c r="J714" s="375"/>
      <c r="K714" s="375"/>
    </row>
    <row r="715" spans="1:11" ht="12.75">
      <c r="A715" s="375"/>
      <c r="B715" s="375"/>
      <c r="C715" s="375"/>
      <c r="D715" s="375"/>
      <c r="E715" s="375"/>
      <c r="F715" s="375"/>
      <c r="G715" s="375"/>
      <c r="H715" s="375"/>
      <c r="I715" s="375"/>
      <c r="J715" s="375"/>
      <c r="K715" s="375"/>
    </row>
    <row r="716" spans="1:11" ht="12.75">
      <c r="A716" s="375"/>
      <c r="B716" s="375"/>
      <c r="C716" s="375"/>
      <c r="D716" s="375"/>
      <c r="E716" s="375"/>
      <c r="F716" s="375"/>
      <c r="G716" s="375"/>
      <c r="H716" s="375"/>
      <c r="I716" s="375"/>
      <c r="J716" s="375"/>
      <c r="K716" s="375"/>
    </row>
    <row r="717" spans="1:11" ht="12.75">
      <c r="A717" s="375"/>
      <c r="B717" s="375"/>
      <c r="C717" s="375"/>
      <c r="D717" s="375"/>
      <c r="E717" s="375"/>
      <c r="F717" s="375"/>
      <c r="G717" s="375"/>
      <c r="H717" s="375"/>
      <c r="I717" s="375"/>
      <c r="J717" s="375"/>
      <c r="K717" s="375"/>
    </row>
    <row r="718" spans="1:11" ht="12.75">
      <c r="A718" s="375"/>
      <c r="B718" s="375"/>
      <c r="C718" s="375"/>
      <c r="D718" s="375"/>
      <c r="E718" s="375"/>
      <c r="F718" s="375"/>
      <c r="G718" s="375"/>
      <c r="H718" s="375"/>
      <c r="I718" s="375"/>
      <c r="J718" s="375"/>
      <c r="K718" s="375"/>
    </row>
    <row r="719" spans="1:11" ht="12.75">
      <c r="A719" s="375"/>
      <c r="B719" s="375"/>
      <c r="C719" s="375"/>
      <c r="D719" s="375"/>
      <c r="E719" s="375"/>
      <c r="F719" s="375"/>
      <c r="G719" s="375"/>
      <c r="H719" s="375"/>
      <c r="I719" s="375"/>
      <c r="J719" s="375"/>
      <c r="K719" s="375"/>
    </row>
    <row r="720" spans="1:11" ht="12.75">
      <c r="A720" s="375"/>
      <c r="B720" s="375"/>
      <c r="C720" s="375"/>
      <c r="D720" s="375"/>
      <c r="E720" s="375"/>
      <c r="F720" s="375"/>
      <c r="G720" s="375"/>
      <c r="H720" s="375"/>
      <c r="I720" s="375"/>
      <c r="J720" s="375"/>
      <c r="K720" s="375"/>
    </row>
    <row r="721" spans="1:11" ht="12.75">
      <c r="A721" s="375"/>
      <c r="B721" s="375"/>
      <c r="C721" s="375"/>
      <c r="D721" s="375"/>
      <c r="E721" s="375"/>
      <c r="F721" s="375"/>
      <c r="G721" s="375"/>
      <c r="H721" s="375"/>
      <c r="I721" s="375"/>
      <c r="J721" s="375"/>
      <c r="K721" s="375"/>
    </row>
    <row r="722" spans="1:11" ht="12.75">
      <c r="A722" s="375"/>
      <c r="B722" s="375"/>
      <c r="C722" s="375"/>
      <c r="D722" s="375"/>
      <c r="E722" s="375"/>
      <c r="F722" s="375"/>
      <c r="G722" s="375"/>
      <c r="H722" s="375"/>
      <c r="I722" s="375"/>
      <c r="J722" s="375"/>
      <c r="K722" s="375"/>
    </row>
    <row r="723" spans="1:11" ht="12.75">
      <c r="A723" s="375"/>
      <c r="B723" s="375"/>
      <c r="C723" s="375"/>
      <c r="D723" s="375"/>
      <c r="E723" s="375"/>
      <c r="F723" s="375"/>
      <c r="G723" s="375"/>
      <c r="H723" s="375"/>
      <c r="I723" s="375"/>
      <c r="J723" s="375"/>
      <c r="K723" s="375"/>
    </row>
    <row r="724" spans="1:11" ht="12.75">
      <c r="A724" s="375"/>
      <c r="B724" s="375"/>
      <c r="C724" s="375"/>
      <c r="D724" s="375"/>
      <c r="E724" s="375"/>
      <c r="F724" s="375"/>
      <c r="G724" s="375"/>
      <c r="H724" s="375"/>
      <c r="I724" s="375"/>
      <c r="J724" s="375"/>
      <c r="K724" s="375"/>
    </row>
    <row r="725" spans="1:11" ht="12.75">
      <c r="A725" s="375"/>
      <c r="B725" s="375"/>
      <c r="C725" s="375"/>
      <c r="D725" s="375"/>
      <c r="E725" s="375"/>
      <c r="F725" s="375"/>
      <c r="G725" s="375"/>
      <c r="H725" s="375"/>
      <c r="I725" s="375"/>
      <c r="J725" s="375"/>
      <c r="K725" s="375"/>
    </row>
    <row r="726" spans="1:11" ht="12.75">
      <c r="A726" s="375"/>
      <c r="B726" s="375"/>
      <c r="C726" s="375"/>
      <c r="D726" s="375"/>
      <c r="E726" s="375"/>
      <c r="F726" s="375"/>
      <c r="G726" s="375"/>
      <c r="H726" s="375"/>
      <c r="I726" s="375"/>
      <c r="J726" s="375"/>
      <c r="K726" s="375"/>
    </row>
    <row r="727" spans="1:11" ht="12.75">
      <c r="A727" s="375"/>
      <c r="B727" s="375"/>
      <c r="C727" s="375"/>
      <c r="D727" s="375"/>
      <c r="E727" s="375"/>
      <c r="F727" s="375"/>
      <c r="G727" s="375"/>
      <c r="H727" s="375"/>
      <c r="I727" s="375"/>
      <c r="J727" s="375"/>
      <c r="K727" s="375"/>
    </row>
    <row r="728" spans="1:11" ht="12.75">
      <c r="A728" s="375"/>
      <c r="B728" s="375"/>
      <c r="C728" s="375"/>
      <c r="D728" s="375"/>
      <c r="E728" s="375"/>
      <c r="F728" s="375"/>
      <c r="G728" s="375"/>
      <c r="H728" s="375"/>
      <c r="I728" s="375"/>
      <c r="J728" s="375"/>
      <c r="K728" s="375"/>
    </row>
    <row r="729" spans="1:11" ht="12.75">
      <c r="A729" s="375"/>
      <c r="B729" s="375"/>
      <c r="C729" s="375"/>
      <c r="D729" s="375"/>
      <c r="E729" s="375"/>
      <c r="F729" s="375"/>
      <c r="G729" s="375"/>
      <c r="H729" s="375"/>
      <c r="I729" s="375"/>
      <c r="J729" s="375"/>
      <c r="K729" s="375"/>
    </row>
    <row r="730" spans="1:11" ht="12.75">
      <c r="A730" s="375"/>
      <c r="B730" s="375"/>
      <c r="C730" s="375"/>
      <c r="D730" s="375"/>
      <c r="E730" s="375"/>
      <c r="F730" s="375"/>
      <c r="G730" s="375"/>
      <c r="H730" s="375"/>
      <c r="I730" s="375"/>
      <c r="J730" s="375"/>
      <c r="K730" s="375"/>
    </row>
    <row r="731" spans="1:11" ht="12.75">
      <c r="A731" s="375"/>
      <c r="B731" s="375"/>
      <c r="C731" s="375"/>
      <c r="D731" s="375"/>
      <c r="E731" s="375"/>
      <c r="F731" s="375"/>
      <c r="G731" s="375"/>
      <c r="H731" s="375"/>
      <c r="I731" s="375"/>
      <c r="J731" s="375"/>
      <c r="K731" s="375"/>
    </row>
    <row r="732" spans="1:11" ht="12.75">
      <c r="A732" s="375"/>
      <c r="B732" s="375"/>
      <c r="C732" s="375"/>
      <c r="D732" s="375"/>
      <c r="E732" s="375"/>
      <c r="F732" s="375"/>
      <c r="G732" s="375"/>
      <c r="H732" s="375"/>
      <c r="I732" s="375"/>
      <c r="J732" s="375"/>
      <c r="K732" s="375"/>
    </row>
    <row r="733" spans="1:11" ht="12.75">
      <c r="A733" s="375"/>
      <c r="B733" s="375"/>
      <c r="C733" s="375"/>
      <c r="D733" s="375"/>
      <c r="E733" s="375"/>
      <c r="F733" s="375"/>
      <c r="G733" s="375"/>
      <c r="H733" s="375"/>
      <c r="I733" s="375"/>
      <c r="J733" s="375"/>
      <c r="K733" s="375"/>
    </row>
    <row r="734" spans="1:11" ht="12.75">
      <c r="A734" s="375"/>
      <c r="B734" s="375"/>
      <c r="C734" s="375"/>
      <c r="D734" s="375"/>
      <c r="E734" s="375"/>
      <c r="F734" s="375"/>
      <c r="G734" s="375"/>
      <c r="H734" s="375"/>
      <c r="I734" s="375"/>
      <c r="J734" s="375"/>
      <c r="K734" s="375"/>
    </row>
    <row r="735" spans="1:11" ht="12.75">
      <c r="A735" s="375"/>
      <c r="B735" s="375"/>
      <c r="C735" s="375"/>
      <c r="D735" s="375"/>
      <c r="E735" s="375"/>
      <c r="F735" s="375"/>
      <c r="G735" s="375"/>
      <c r="H735" s="375"/>
      <c r="I735" s="375"/>
      <c r="J735" s="375"/>
      <c r="K735" s="375"/>
    </row>
    <row r="736" spans="1:11" ht="12.75">
      <c r="A736" s="375"/>
      <c r="B736" s="375"/>
      <c r="C736" s="375"/>
      <c r="D736" s="375"/>
      <c r="E736" s="375"/>
      <c r="F736" s="375"/>
      <c r="G736" s="375"/>
      <c r="H736" s="375"/>
      <c r="I736" s="375"/>
      <c r="J736" s="375"/>
      <c r="K736" s="375"/>
    </row>
    <row r="737" spans="1:11" ht="12.75">
      <c r="A737" s="375"/>
      <c r="B737" s="375"/>
      <c r="C737" s="375"/>
      <c r="D737" s="375"/>
      <c r="E737" s="375"/>
      <c r="F737" s="375"/>
      <c r="G737" s="375"/>
      <c r="H737" s="375"/>
      <c r="I737" s="375"/>
      <c r="J737" s="375"/>
      <c r="K737" s="375"/>
    </row>
    <row r="738" spans="1:11" ht="12.75">
      <c r="A738" s="375"/>
      <c r="B738" s="375"/>
      <c r="C738" s="375"/>
      <c r="D738" s="375"/>
      <c r="E738" s="375"/>
      <c r="F738" s="375"/>
      <c r="G738" s="375"/>
      <c r="H738" s="375"/>
      <c r="I738" s="375"/>
      <c r="J738" s="375"/>
      <c r="K738" s="375"/>
    </row>
    <row r="739" spans="1:11" ht="12.75">
      <c r="A739" s="375"/>
      <c r="B739" s="375"/>
      <c r="C739" s="375"/>
      <c r="D739" s="375"/>
      <c r="E739" s="375"/>
      <c r="F739" s="375"/>
      <c r="G739" s="375"/>
      <c r="H739" s="375"/>
      <c r="I739" s="375"/>
      <c r="J739" s="375"/>
      <c r="K739" s="375"/>
    </row>
    <row r="740" spans="1:11" ht="12.75">
      <c r="A740" s="375"/>
      <c r="B740" s="375"/>
      <c r="C740" s="375"/>
      <c r="D740" s="375"/>
      <c r="E740" s="375"/>
      <c r="F740" s="375"/>
      <c r="G740" s="375"/>
      <c r="H740" s="375"/>
      <c r="I740" s="375"/>
      <c r="J740" s="375"/>
      <c r="K740" s="375"/>
    </row>
    <row r="741" spans="1:11" ht="12.75">
      <c r="A741" s="375"/>
      <c r="B741" s="375"/>
      <c r="C741" s="375"/>
      <c r="D741" s="375"/>
      <c r="E741" s="375"/>
      <c r="F741" s="375"/>
      <c r="G741" s="375"/>
      <c r="H741" s="375"/>
      <c r="I741" s="375"/>
      <c r="J741" s="375"/>
      <c r="K741" s="375"/>
    </row>
    <row r="742" spans="1:11" ht="12.75">
      <c r="A742" s="375"/>
      <c r="B742" s="375"/>
      <c r="C742" s="375"/>
      <c r="D742" s="375"/>
      <c r="E742" s="375"/>
      <c r="F742" s="375"/>
      <c r="G742" s="375"/>
      <c r="H742" s="375"/>
      <c r="I742" s="375"/>
      <c r="J742" s="375"/>
      <c r="K742" s="375"/>
    </row>
    <row r="743" spans="1:11" ht="12.75">
      <c r="A743" s="375"/>
      <c r="B743" s="375"/>
      <c r="C743" s="375"/>
      <c r="D743" s="375"/>
      <c r="E743" s="375"/>
      <c r="F743" s="375"/>
      <c r="G743" s="375"/>
      <c r="H743" s="375"/>
      <c r="I743" s="375"/>
      <c r="J743" s="375"/>
      <c r="K743" s="375"/>
    </row>
    <row r="744" spans="1:11" ht="12.75">
      <c r="A744" s="375"/>
      <c r="B744" s="375"/>
      <c r="C744" s="375"/>
      <c r="D744" s="375"/>
      <c r="E744" s="375"/>
      <c r="F744" s="375"/>
      <c r="G744" s="375"/>
      <c r="H744" s="375"/>
      <c r="I744" s="375"/>
      <c r="J744" s="375"/>
      <c r="K744" s="375"/>
    </row>
    <row r="745" spans="1:11" ht="12.75">
      <c r="A745" s="375"/>
      <c r="B745" s="375"/>
      <c r="C745" s="375"/>
      <c r="D745" s="375"/>
      <c r="E745" s="375"/>
      <c r="F745" s="375"/>
      <c r="G745" s="375"/>
      <c r="H745" s="375"/>
      <c r="I745" s="375"/>
      <c r="J745" s="375"/>
      <c r="K745" s="375"/>
    </row>
    <row r="746" spans="1:11" ht="12.75">
      <c r="A746" s="375"/>
      <c r="B746" s="375"/>
      <c r="C746" s="375"/>
      <c r="D746" s="375"/>
      <c r="E746" s="375"/>
      <c r="F746" s="375"/>
      <c r="G746" s="375"/>
      <c r="H746" s="375"/>
      <c r="I746" s="375"/>
      <c r="J746" s="375"/>
      <c r="K746" s="375"/>
    </row>
    <row r="747" spans="1:11" ht="12.75">
      <c r="A747" s="375"/>
      <c r="B747" s="375"/>
      <c r="C747" s="375"/>
      <c r="D747" s="375"/>
      <c r="E747" s="375"/>
      <c r="F747" s="375"/>
      <c r="G747" s="375"/>
      <c r="H747" s="375"/>
      <c r="I747" s="375"/>
      <c r="J747" s="375"/>
      <c r="K747" s="375"/>
    </row>
    <row r="748" spans="1:11" ht="12.75">
      <c r="A748" s="375"/>
      <c r="B748" s="375"/>
      <c r="C748" s="375"/>
      <c r="D748" s="375"/>
      <c r="E748" s="375"/>
      <c r="F748" s="375"/>
      <c r="G748" s="375"/>
      <c r="H748" s="375"/>
      <c r="I748" s="375"/>
      <c r="J748" s="375"/>
      <c r="K748" s="375"/>
    </row>
    <row r="749" spans="1:11" ht="12.75">
      <c r="A749" s="375"/>
      <c r="B749" s="375"/>
      <c r="C749" s="375"/>
      <c r="D749" s="375"/>
      <c r="E749" s="375"/>
      <c r="F749" s="375"/>
      <c r="G749" s="375"/>
      <c r="H749" s="375"/>
      <c r="I749" s="375"/>
      <c r="J749" s="375"/>
      <c r="K749" s="375"/>
    </row>
    <row r="750" spans="1:11" ht="12.75">
      <c r="A750" s="375"/>
      <c r="B750" s="375"/>
      <c r="C750" s="375"/>
      <c r="D750" s="375"/>
      <c r="E750" s="375"/>
      <c r="F750" s="375"/>
      <c r="G750" s="375"/>
      <c r="H750" s="375"/>
      <c r="I750" s="375"/>
      <c r="J750" s="375"/>
      <c r="K750" s="375"/>
    </row>
    <row r="751" spans="1:11" ht="12.75">
      <c r="A751" s="375"/>
      <c r="B751" s="375"/>
      <c r="C751" s="375"/>
      <c r="D751" s="375"/>
      <c r="E751" s="375"/>
      <c r="F751" s="375"/>
      <c r="G751" s="375"/>
      <c r="H751" s="375"/>
      <c r="I751" s="375"/>
      <c r="J751" s="375"/>
      <c r="K751" s="375"/>
    </row>
    <row r="752" spans="1:11" ht="12.75">
      <c r="A752" s="375"/>
      <c r="B752" s="375"/>
      <c r="C752" s="375"/>
      <c r="D752" s="375"/>
      <c r="E752" s="375"/>
      <c r="F752" s="375"/>
      <c r="G752" s="375"/>
      <c r="H752" s="375"/>
      <c r="I752" s="375"/>
      <c r="J752" s="375"/>
      <c r="K752" s="375"/>
    </row>
    <row r="753" spans="1:11" ht="12.75">
      <c r="A753" s="375"/>
      <c r="B753" s="375"/>
      <c r="C753" s="375"/>
      <c r="D753" s="375"/>
      <c r="E753" s="375"/>
      <c r="F753" s="375"/>
      <c r="G753" s="375"/>
      <c r="H753" s="375"/>
      <c r="I753" s="375"/>
      <c r="J753" s="375"/>
      <c r="K753" s="375"/>
    </row>
    <row r="754" spans="1:11" ht="12.75">
      <c r="A754" s="375"/>
      <c r="B754" s="375"/>
      <c r="C754" s="375"/>
      <c r="D754" s="375"/>
      <c r="E754" s="375"/>
      <c r="F754" s="375"/>
      <c r="G754" s="375"/>
      <c r="H754" s="375"/>
      <c r="I754" s="375"/>
      <c r="J754" s="375"/>
      <c r="K754" s="375"/>
    </row>
    <row r="755" spans="1:11" ht="12.75">
      <c r="A755" s="375"/>
      <c r="B755" s="375"/>
      <c r="C755" s="375"/>
      <c r="D755" s="375"/>
      <c r="E755" s="375"/>
      <c r="F755" s="375"/>
      <c r="G755" s="375"/>
      <c r="H755" s="375"/>
      <c r="I755" s="375"/>
      <c r="J755" s="375"/>
      <c r="K755" s="375"/>
    </row>
    <row r="756" spans="1:11" ht="12.75">
      <c r="A756" s="375"/>
      <c r="B756" s="375"/>
      <c r="C756" s="375"/>
      <c r="D756" s="375"/>
      <c r="E756" s="375"/>
      <c r="F756" s="375"/>
      <c r="G756" s="375"/>
      <c r="H756" s="375"/>
      <c r="I756" s="375"/>
      <c r="J756" s="375"/>
      <c r="K756" s="375"/>
    </row>
    <row r="757" spans="1:11" ht="12.75">
      <c r="A757" s="375"/>
      <c r="B757" s="375"/>
      <c r="C757" s="375"/>
      <c r="D757" s="375"/>
      <c r="E757" s="375"/>
      <c r="F757" s="375"/>
      <c r="G757" s="375"/>
      <c r="H757" s="375"/>
      <c r="I757" s="375"/>
      <c r="J757" s="375"/>
      <c r="K757" s="375"/>
    </row>
    <row r="758" spans="1:11" ht="12.75">
      <c r="A758" s="375"/>
      <c r="B758" s="375"/>
      <c r="C758" s="375"/>
      <c r="D758" s="375"/>
      <c r="E758" s="375"/>
      <c r="F758" s="375"/>
      <c r="G758" s="375"/>
      <c r="H758" s="375"/>
      <c r="I758" s="375"/>
      <c r="J758" s="375"/>
      <c r="K758" s="375"/>
    </row>
    <row r="759" spans="1:11" ht="12.75">
      <c r="A759" s="375"/>
      <c r="B759" s="375"/>
      <c r="C759" s="375"/>
      <c r="D759" s="375"/>
      <c r="E759" s="375"/>
      <c r="F759" s="375"/>
      <c r="G759" s="375"/>
      <c r="H759" s="375"/>
      <c r="I759" s="375"/>
      <c r="J759" s="375"/>
      <c r="K759" s="375"/>
    </row>
    <row r="760" spans="1:11" ht="12.75">
      <c r="A760" s="375"/>
      <c r="B760" s="375"/>
      <c r="C760" s="375"/>
      <c r="D760" s="375"/>
      <c r="E760" s="375"/>
      <c r="F760" s="375"/>
      <c r="G760" s="375"/>
      <c r="H760" s="375"/>
      <c r="I760" s="375"/>
      <c r="J760" s="375"/>
      <c r="K760" s="375"/>
    </row>
    <row r="761" spans="1:11" ht="12.75">
      <c r="A761" s="375"/>
      <c r="B761" s="375"/>
      <c r="C761" s="375"/>
      <c r="D761" s="375"/>
      <c r="E761" s="375"/>
      <c r="F761" s="375"/>
      <c r="G761" s="375"/>
      <c r="H761" s="375"/>
      <c r="I761" s="375"/>
      <c r="J761" s="375"/>
      <c r="K761" s="375"/>
    </row>
    <row r="762" spans="1:11" ht="12.75">
      <c r="A762" s="375"/>
      <c r="B762" s="375"/>
      <c r="C762" s="375"/>
      <c r="D762" s="375"/>
      <c r="E762" s="375"/>
      <c r="F762" s="375"/>
      <c r="G762" s="375"/>
      <c r="H762" s="375"/>
      <c r="I762" s="375"/>
      <c r="J762" s="375"/>
      <c r="K762" s="375"/>
    </row>
    <row r="763" spans="1:11" ht="12.75">
      <c r="A763" s="375"/>
      <c r="B763" s="375"/>
      <c r="C763" s="375"/>
      <c r="D763" s="375"/>
      <c r="E763" s="375"/>
      <c r="F763" s="375"/>
      <c r="G763" s="375"/>
      <c r="H763" s="375"/>
      <c r="I763" s="375"/>
      <c r="J763" s="375"/>
      <c r="K763" s="375"/>
    </row>
    <row r="764" spans="1:11" ht="12.75">
      <c r="A764" s="375"/>
      <c r="B764" s="375"/>
      <c r="C764" s="375"/>
      <c r="D764" s="375"/>
      <c r="E764" s="375"/>
      <c r="F764" s="375"/>
      <c r="G764" s="375"/>
      <c r="H764" s="375"/>
      <c r="I764" s="375"/>
      <c r="J764" s="375"/>
      <c r="K764" s="375"/>
    </row>
    <row r="765" spans="1:11" ht="12.75">
      <c r="A765" s="375"/>
      <c r="B765" s="375"/>
      <c r="C765" s="375"/>
      <c r="D765" s="375"/>
      <c r="E765" s="375"/>
      <c r="F765" s="375"/>
      <c r="G765" s="375"/>
      <c r="H765" s="375"/>
      <c r="I765" s="375"/>
      <c r="J765" s="375"/>
      <c r="K765" s="375"/>
    </row>
    <row r="766" spans="1:11" ht="12.75">
      <c r="A766" s="375"/>
      <c r="B766" s="375"/>
      <c r="C766" s="375"/>
      <c r="D766" s="375"/>
      <c r="E766" s="375"/>
      <c r="F766" s="375"/>
      <c r="G766" s="375"/>
      <c r="H766" s="375"/>
      <c r="I766" s="375"/>
      <c r="J766" s="375"/>
      <c r="K766" s="375"/>
    </row>
    <row r="767" spans="1:11" ht="12.75">
      <c r="A767" s="375"/>
      <c r="B767" s="375"/>
      <c r="C767" s="375"/>
      <c r="D767" s="375"/>
      <c r="E767" s="375"/>
      <c r="F767" s="375"/>
      <c r="G767" s="375"/>
      <c r="H767" s="375"/>
      <c r="I767" s="375"/>
      <c r="J767" s="375"/>
      <c r="K767" s="375"/>
    </row>
    <row r="768" spans="1:11" ht="12.75">
      <c r="A768" s="375"/>
      <c r="B768" s="375"/>
      <c r="C768" s="375"/>
      <c r="D768" s="375"/>
      <c r="E768" s="375"/>
      <c r="F768" s="375"/>
      <c r="G768" s="375"/>
      <c r="H768" s="375"/>
      <c r="I768" s="375"/>
      <c r="J768" s="375"/>
      <c r="K768" s="375"/>
    </row>
    <row r="769" spans="1:11" ht="12.75">
      <c r="A769" s="375"/>
      <c r="B769" s="375"/>
      <c r="C769" s="375"/>
      <c r="D769" s="375"/>
      <c r="E769" s="375"/>
      <c r="F769" s="375"/>
      <c r="G769" s="375"/>
      <c r="H769" s="375"/>
      <c r="I769" s="375"/>
      <c r="J769" s="375"/>
      <c r="K769" s="375"/>
    </row>
    <row r="770" spans="1:11" ht="12.75">
      <c r="A770" s="375"/>
      <c r="B770" s="375"/>
      <c r="C770" s="375"/>
      <c r="D770" s="375"/>
      <c r="E770" s="375"/>
      <c r="F770" s="375"/>
      <c r="G770" s="375"/>
      <c r="H770" s="375"/>
      <c r="I770" s="375"/>
      <c r="J770" s="375"/>
      <c r="K770" s="375"/>
    </row>
    <row r="771" spans="1:11" ht="12.75">
      <c r="A771" s="375"/>
      <c r="B771" s="375"/>
      <c r="C771" s="375"/>
      <c r="D771" s="375"/>
      <c r="E771" s="375"/>
      <c r="F771" s="375"/>
      <c r="G771" s="375"/>
      <c r="H771" s="375"/>
      <c r="I771" s="375"/>
      <c r="J771" s="375"/>
      <c r="K771" s="375"/>
    </row>
    <row r="772" spans="1:11" ht="12.75">
      <c r="A772" s="375"/>
      <c r="B772" s="375"/>
      <c r="C772" s="375"/>
      <c r="D772" s="375"/>
      <c r="E772" s="375"/>
      <c r="F772" s="375"/>
      <c r="G772" s="375"/>
      <c r="H772" s="375"/>
      <c r="I772" s="375"/>
      <c r="J772" s="375"/>
      <c r="K772" s="375"/>
    </row>
    <row r="773" spans="1:11" ht="12.75">
      <c r="A773" s="375"/>
      <c r="B773" s="375"/>
      <c r="C773" s="375"/>
      <c r="D773" s="375"/>
      <c r="E773" s="375"/>
      <c r="F773" s="375"/>
      <c r="G773" s="375"/>
      <c r="H773" s="375"/>
      <c r="I773" s="375"/>
      <c r="J773" s="375"/>
      <c r="K773" s="375"/>
    </row>
    <row r="774" spans="1:11" ht="12.75">
      <c r="A774" s="375"/>
      <c r="B774" s="375"/>
      <c r="C774" s="375"/>
      <c r="D774" s="375"/>
      <c r="E774" s="375"/>
      <c r="F774" s="375"/>
      <c r="G774" s="375"/>
      <c r="H774" s="375"/>
      <c r="I774" s="375"/>
      <c r="J774" s="375"/>
      <c r="K774" s="375"/>
    </row>
    <row r="775" spans="1:11" ht="12.75">
      <c r="A775" s="375"/>
      <c r="B775" s="375"/>
      <c r="C775" s="375"/>
      <c r="D775" s="375"/>
      <c r="E775" s="375"/>
      <c r="F775" s="375"/>
      <c r="G775" s="375"/>
      <c r="H775" s="375"/>
      <c r="I775" s="375"/>
      <c r="J775" s="375"/>
      <c r="K775" s="375"/>
    </row>
    <row r="776" spans="1:11" ht="12.75">
      <c r="A776" s="375"/>
      <c r="B776" s="375"/>
      <c r="C776" s="375"/>
      <c r="D776" s="375"/>
      <c r="E776" s="375"/>
      <c r="F776" s="375"/>
      <c r="G776" s="375"/>
      <c r="H776" s="375"/>
      <c r="I776" s="375"/>
      <c r="J776" s="375"/>
      <c r="K776" s="375"/>
    </row>
    <row r="777" spans="1:11" ht="12.75">
      <c r="A777" s="375"/>
      <c r="B777" s="375"/>
      <c r="C777" s="375"/>
      <c r="D777" s="375"/>
      <c r="E777" s="375"/>
      <c r="F777" s="375"/>
      <c r="G777" s="375"/>
      <c r="H777" s="375"/>
      <c r="I777" s="375"/>
      <c r="J777" s="375"/>
      <c r="K777" s="375"/>
    </row>
    <row r="778" spans="1:11" ht="12.75">
      <c r="A778" s="375"/>
      <c r="B778" s="375"/>
      <c r="C778" s="375"/>
      <c r="D778" s="375"/>
      <c r="E778" s="375"/>
      <c r="F778" s="375"/>
      <c r="G778" s="375"/>
      <c r="H778" s="375"/>
      <c r="I778" s="375"/>
      <c r="J778" s="375"/>
      <c r="K778" s="375"/>
    </row>
    <row r="779" spans="1:11" ht="12.75">
      <c r="A779" s="375"/>
      <c r="B779" s="375"/>
      <c r="C779" s="375"/>
      <c r="D779" s="375"/>
      <c r="E779" s="375"/>
      <c r="F779" s="375"/>
      <c r="G779" s="375"/>
      <c r="H779" s="375"/>
      <c r="I779" s="375"/>
      <c r="J779" s="375"/>
      <c r="K779" s="375"/>
    </row>
    <row r="780" spans="1:11" ht="12.75">
      <c r="A780" s="375"/>
      <c r="B780" s="375"/>
      <c r="C780" s="375"/>
      <c r="D780" s="375"/>
      <c r="E780" s="375"/>
      <c r="F780" s="375"/>
      <c r="G780" s="375"/>
      <c r="H780" s="375"/>
      <c r="I780" s="375"/>
      <c r="J780" s="375"/>
      <c r="K780" s="375"/>
    </row>
    <row r="781" spans="1:11" ht="12.75">
      <c r="A781" s="375"/>
      <c r="B781" s="375"/>
      <c r="C781" s="375"/>
      <c r="D781" s="375"/>
      <c r="E781" s="375"/>
      <c r="F781" s="375"/>
      <c r="G781" s="375"/>
      <c r="H781" s="375"/>
      <c r="I781" s="375"/>
      <c r="J781" s="375"/>
      <c r="K781" s="375"/>
    </row>
    <row r="782" spans="1:11" ht="12.75">
      <c r="A782" s="375"/>
      <c r="B782" s="375"/>
      <c r="C782" s="375"/>
      <c r="D782" s="375"/>
      <c r="E782" s="375"/>
      <c r="F782" s="375"/>
      <c r="G782" s="375"/>
      <c r="H782" s="375"/>
      <c r="I782" s="375"/>
      <c r="J782" s="375"/>
      <c r="K782" s="375"/>
    </row>
    <row r="783" spans="1:11" ht="12.75">
      <c r="A783" s="375"/>
      <c r="B783" s="375"/>
      <c r="C783" s="375"/>
      <c r="D783" s="375"/>
      <c r="E783" s="375"/>
      <c r="F783" s="375"/>
      <c r="G783" s="375"/>
      <c r="H783" s="375"/>
      <c r="I783" s="375"/>
      <c r="J783" s="375"/>
      <c r="K783" s="375"/>
    </row>
    <row r="784" spans="1:11" ht="12.75">
      <c r="A784" s="375"/>
      <c r="B784" s="375"/>
      <c r="C784" s="375"/>
      <c r="D784" s="375"/>
      <c r="E784" s="375"/>
      <c r="F784" s="375"/>
      <c r="G784" s="375"/>
      <c r="H784" s="375"/>
      <c r="I784" s="375"/>
      <c r="J784" s="375"/>
      <c r="K784" s="375"/>
    </row>
    <row r="785" spans="1:11" ht="12.75">
      <c r="A785" s="375"/>
      <c r="B785" s="375"/>
      <c r="C785" s="375"/>
      <c r="D785" s="375"/>
      <c r="E785" s="375"/>
      <c r="F785" s="375"/>
      <c r="G785" s="375"/>
      <c r="H785" s="375"/>
      <c r="I785" s="375"/>
      <c r="J785" s="375"/>
      <c r="K785" s="375"/>
    </row>
    <row r="786" spans="1:11" ht="12.75">
      <c r="A786" s="375"/>
      <c r="B786" s="375"/>
      <c r="C786" s="375"/>
      <c r="D786" s="375"/>
      <c r="E786" s="375"/>
      <c r="F786" s="375"/>
      <c r="G786" s="375"/>
      <c r="H786" s="375"/>
      <c r="I786" s="375"/>
      <c r="J786" s="375"/>
      <c r="K786" s="375"/>
    </row>
    <row r="787" spans="1:11" ht="12.75">
      <c r="A787" s="375"/>
      <c r="B787" s="375"/>
      <c r="C787" s="375"/>
      <c r="D787" s="375"/>
      <c r="E787" s="375"/>
      <c r="F787" s="375"/>
      <c r="G787" s="375"/>
      <c r="H787" s="375"/>
      <c r="I787" s="375"/>
      <c r="J787" s="375"/>
      <c r="K787" s="375"/>
    </row>
    <row r="788" spans="1:11" ht="12.75">
      <c r="A788" s="375"/>
      <c r="B788" s="375"/>
      <c r="C788" s="375"/>
      <c r="D788" s="375"/>
      <c r="E788" s="375"/>
      <c r="F788" s="375"/>
      <c r="G788" s="375"/>
      <c r="H788" s="375"/>
      <c r="I788" s="375"/>
      <c r="J788" s="375"/>
      <c r="K788" s="375"/>
    </row>
    <row r="789" spans="1:11" ht="12.75">
      <c r="A789" s="375"/>
      <c r="B789" s="375"/>
      <c r="C789" s="375"/>
      <c r="D789" s="375"/>
      <c r="E789" s="375"/>
      <c r="F789" s="375"/>
      <c r="G789" s="375"/>
      <c r="H789" s="375"/>
      <c r="I789" s="375"/>
      <c r="J789" s="375"/>
      <c r="K789" s="375"/>
    </row>
    <row r="790" spans="1:11" ht="12.75">
      <c r="A790" s="375"/>
      <c r="B790" s="375"/>
      <c r="C790" s="375"/>
      <c r="D790" s="375"/>
      <c r="E790" s="375"/>
      <c r="F790" s="375"/>
      <c r="G790" s="375"/>
      <c r="H790" s="375"/>
      <c r="I790" s="375"/>
      <c r="J790" s="375"/>
      <c r="K790" s="375"/>
    </row>
    <row r="791" spans="1:11" ht="12.75">
      <c r="A791" s="375"/>
      <c r="B791" s="375"/>
      <c r="C791" s="375"/>
      <c r="D791" s="375"/>
      <c r="E791" s="375"/>
      <c r="F791" s="375"/>
      <c r="G791" s="375"/>
      <c r="H791" s="375"/>
      <c r="I791" s="375"/>
      <c r="J791" s="375"/>
      <c r="K791" s="375"/>
    </row>
    <row r="792" spans="1:11" ht="12.75">
      <c r="A792" s="375"/>
      <c r="B792" s="375"/>
      <c r="C792" s="375"/>
      <c r="D792" s="375"/>
      <c r="E792" s="375"/>
      <c r="F792" s="375"/>
      <c r="G792" s="375"/>
      <c r="H792" s="375"/>
      <c r="I792" s="375"/>
      <c r="J792" s="375"/>
      <c r="K792" s="375"/>
    </row>
    <row r="793" spans="1:11" ht="12.75">
      <c r="A793" s="375"/>
      <c r="B793" s="375"/>
      <c r="C793" s="375"/>
      <c r="D793" s="375"/>
      <c r="E793" s="375"/>
      <c r="F793" s="375"/>
      <c r="G793" s="375"/>
      <c r="H793" s="375"/>
      <c r="I793" s="375"/>
      <c r="J793" s="375"/>
      <c r="K793" s="375"/>
    </row>
    <row r="794" spans="1:11" ht="12.75">
      <c r="A794" s="375"/>
      <c r="B794" s="375"/>
      <c r="C794" s="375"/>
      <c r="D794" s="375"/>
      <c r="E794" s="375"/>
      <c r="F794" s="375"/>
      <c r="G794" s="375"/>
      <c r="H794" s="375"/>
      <c r="I794" s="375"/>
      <c r="J794" s="375"/>
      <c r="K794" s="375"/>
    </row>
    <row r="795" spans="1:11" ht="12.75">
      <c r="A795" s="375"/>
      <c r="B795" s="375"/>
      <c r="C795" s="375"/>
      <c r="D795" s="375"/>
      <c r="E795" s="375"/>
      <c r="F795" s="375"/>
      <c r="G795" s="375"/>
      <c r="H795" s="375"/>
      <c r="I795" s="375"/>
      <c r="J795" s="375"/>
      <c r="K795" s="375"/>
    </row>
    <row r="796" spans="1:11" ht="12.75">
      <c r="A796" s="375"/>
      <c r="B796" s="375"/>
      <c r="C796" s="375"/>
      <c r="D796" s="375"/>
      <c r="E796" s="375"/>
      <c r="F796" s="375"/>
      <c r="G796" s="375"/>
      <c r="H796" s="375"/>
      <c r="I796" s="375"/>
      <c r="J796" s="375"/>
      <c r="K796" s="375"/>
    </row>
    <row r="797" spans="1:11" ht="12.75">
      <c r="A797" s="375"/>
      <c r="B797" s="375"/>
      <c r="C797" s="375"/>
      <c r="D797" s="375"/>
      <c r="E797" s="375"/>
      <c r="F797" s="375"/>
      <c r="G797" s="375"/>
      <c r="H797" s="375"/>
      <c r="I797" s="375"/>
      <c r="J797" s="375"/>
      <c r="K797" s="375"/>
    </row>
    <row r="798" spans="1:11" ht="12.75">
      <c r="A798" s="375"/>
      <c r="B798" s="375"/>
      <c r="C798" s="375"/>
      <c r="D798" s="375"/>
      <c r="E798" s="375"/>
      <c r="F798" s="375"/>
      <c r="G798" s="375"/>
      <c r="H798" s="375"/>
      <c r="I798" s="375"/>
      <c r="J798" s="375"/>
      <c r="K798" s="375"/>
    </row>
    <row r="799" spans="1:11" ht="12.75">
      <c r="A799" s="375"/>
      <c r="B799" s="375"/>
      <c r="C799" s="375"/>
      <c r="D799" s="375"/>
      <c r="E799" s="375"/>
      <c r="F799" s="375"/>
      <c r="G799" s="375"/>
      <c r="H799" s="375"/>
      <c r="I799" s="375"/>
      <c r="J799" s="375"/>
      <c r="K799" s="375"/>
    </row>
    <row r="800" spans="1:11" ht="12.75">
      <c r="A800" s="375"/>
      <c r="B800" s="375"/>
      <c r="C800" s="375"/>
      <c r="D800" s="375"/>
      <c r="E800" s="375"/>
      <c r="F800" s="375"/>
      <c r="G800" s="375"/>
      <c r="H800" s="375"/>
      <c r="I800" s="375"/>
      <c r="J800" s="375"/>
      <c r="K800" s="375"/>
    </row>
    <row r="801" spans="1:11" ht="12.75">
      <c r="A801" s="375"/>
      <c r="B801" s="375"/>
      <c r="C801" s="375"/>
      <c r="D801" s="375"/>
      <c r="E801" s="375"/>
      <c r="F801" s="375"/>
      <c r="G801" s="375"/>
      <c r="H801" s="375"/>
      <c r="I801" s="375"/>
      <c r="J801" s="375"/>
      <c r="K801" s="375"/>
    </row>
    <row r="802" spans="1:11" ht="12.75">
      <c r="A802" s="375"/>
      <c r="B802" s="375"/>
      <c r="C802" s="375"/>
      <c r="D802" s="375"/>
      <c r="E802" s="375"/>
      <c r="F802" s="375"/>
      <c r="G802" s="375"/>
      <c r="H802" s="375"/>
      <c r="I802" s="375"/>
      <c r="J802" s="375"/>
      <c r="K802" s="375"/>
    </row>
    <row r="803" spans="1:11" ht="12.75">
      <c r="A803" s="375"/>
      <c r="B803" s="375"/>
      <c r="C803" s="375"/>
      <c r="D803" s="375"/>
      <c r="E803" s="375"/>
      <c r="F803" s="375"/>
      <c r="G803" s="375"/>
      <c r="H803" s="375"/>
      <c r="I803" s="375"/>
      <c r="J803" s="375"/>
      <c r="K803" s="375"/>
    </row>
    <row r="804" spans="1:11" ht="12.75">
      <c r="A804" s="375"/>
      <c r="B804" s="375"/>
      <c r="C804" s="375"/>
      <c r="D804" s="375"/>
      <c r="E804" s="375"/>
      <c r="F804" s="375"/>
      <c r="G804" s="375"/>
      <c r="H804" s="375"/>
      <c r="I804" s="375"/>
      <c r="J804" s="375"/>
      <c r="K804" s="375"/>
    </row>
    <row r="805" spans="1:11" ht="12.75">
      <c r="A805" s="375"/>
      <c r="B805" s="375"/>
      <c r="C805" s="375"/>
      <c r="D805" s="375"/>
      <c r="E805" s="375"/>
      <c r="F805" s="375"/>
      <c r="G805" s="375"/>
      <c r="H805" s="375"/>
      <c r="I805" s="375"/>
      <c r="J805" s="375"/>
      <c r="K805" s="375"/>
    </row>
    <row r="806" spans="1:11" ht="12.75">
      <c r="A806" s="375"/>
      <c r="B806" s="375"/>
      <c r="C806" s="375"/>
      <c r="D806" s="375"/>
      <c r="E806" s="375"/>
      <c r="F806" s="375"/>
      <c r="G806" s="375"/>
      <c r="H806" s="375"/>
      <c r="I806" s="375"/>
      <c r="J806" s="375"/>
      <c r="K806" s="375"/>
    </row>
    <row r="807" spans="1:11" ht="12.75">
      <c r="A807" s="375"/>
      <c r="B807" s="375"/>
      <c r="C807" s="375"/>
      <c r="D807" s="375"/>
      <c r="E807" s="375"/>
      <c r="F807" s="375"/>
      <c r="G807" s="375"/>
      <c r="H807" s="375"/>
      <c r="I807" s="375"/>
      <c r="J807" s="375"/>
      <c r="K807" s="375"/>
    </row>
    <row r="808" spans="1:11" ht="12.75">
      <c r="A808" s="375"/>
      <c r="B808" s="375"/>
      <c r="C808" s="375"/>
      <c r="D808" s="375"/>
      <c r="E808" s="375"/>
      <c r="F808" s="375"/>
      <c r="G808" s="375"/>
      <c r="H808" s="375"/>
      <c r="I808" s="375"/>
      <c r="J808" s="375"/>
      <c r="K808" s="375"/>
    </row>
    <row r="809" spans="1:11" ht="12.75">
      <c r="A809" s="375"/>
      <c r="B809" s="375"/>
      <c r="C809" s="375"/>
      <c r="D809" s="375"/>
      <c r="E809" s="375"/>
      <c r="F809" s="375"/>
      <c r="G809" s="375"/>
      <c r="H809" s="375"/>
      <c r="I809" s="375"/>
      <c r="J809" s="375"/>
      <c r="K809" s="375"/>
    </row>
    <row r="810" spans="1:11" ht="12.75">
      <c r="A810" s="375"/>
      <c r="B810" s="375"/>
      <c r="C810" s="375"/>
      <c r="D810" s="375"/>
      <c r="E810" s="375"/>
      <c r="F810" s="375"/>
      <c r="G810" s="375"/>
      <c r="H810" s="375"/>
      <c r="I810" s="375"/>
      <c r="J810" s="375"/>
      <c r="K810" s="375"/>
    </row>
    <row r="811" spans="1:11" ht="12.75">
      <c r="A811" s="375"/>
      <c r="B811" s="375"/>
      <c r="C811" s="375"/>
      <c r="D811" s="375"/>
      <c r="E811" s="375"/>
      <c r="F811" s="375"/>
      <c r="G811" s="375"/>
      <c r="H811" s="375"/>
      <c r="I811" s="375"/>
      <c r="J811" s="375"/>
      <c r="K811" s="375"/>
    </row>
    <row r="812" spans="1:11" ht="12.75">
      <c r="A812" s="375"/>
      <c r="B812" s="375"/>
      <c r="C812" s="375"/>
      <c r="D812" s="375"/>
      <c r="E812" s="375"/>
      <c r="F812" s="375"/>
      <c r="G812" s="375"/>
      <c r="H812" s="375"/>
      <c r="I812" s="375"/>
      <c r="J812" s="375"/>
      <c r="K812" s="375"/>
    </row>
    <row r="813" spans="1:11" ht="12.75">
      <c r="A813" s="375"/>
      <c r="B813" s="375"/>
      <c r="C813" s="375"/>
      <c r="D813" s="375"/>
      <c r="E813" s="375"/>
      <c r="F813" s="375"/>
      <c r="G813" s="375"/>
      <c r="H813" s="375"/>
      <c r="I813" s="375"/>
      <c r="J813" s="375"/>
      <c r="K813" s="375"/>
    </row>
    <row r="814" spans="1:11" ht="12.75">
      <c r="A814" s="375"/>
      <c r="B814" s="375"/>
      <c r="C814" s="375"/>
      <c r="D814" s="375"/>
      <c r="E814" s="375"/>
      <c r="F814" s="375"/>
      <c r="G814" s="375"/>
      <c r="H814" s="375"/>
      <c r="I814" s="375"/>
      <c r="J814" s="375"/>
      <c r="K814" s="375"/>
    </row>
    <row r="815" spans="1:11" ht="12.75">
      <c r="A815" s="375"/>
      <c r="B815" s="375"/>
      <c r="C815" s="375"/>
      <c r="D815" s="375"/>
      <c r="E815" s="375"/>
      <c r="F815" s="375"/>
      <c r="G815" s="375"/>
      <c r="H815" s="375"/>
      <c r="I815" s="375"/>
      <c r="J815" s="375"/>
      <c r="K815" s="375"/>
    </row>
    <row r="816" spans="1:11" ht="12.75">
      <c r="A816" s="375"/>
      <c r="B816" s="375"/>
      <c r="C816" s="375"/>
      <c r="D816" s="375"/>
      <c r="E816" s="375"/>
      <c r="F816" s="375"/>
      <c r="G816" s="375"/>
      <c r="H816" s="375"/>
      <c r="I816" s="375"/>
      <c r="J816" s="375"/>
      <c r="K816" s="375"/>
    </row>
    <row r="817" spans="1:11" ht="12.75">
      <c r="A817" s="375"/>
      <c r="B817" s="375"/>
      <c r="C817" s="375"/>
      <c r="D817" s="375"/>
      <c r="E817" s="375"/>
      <c r="F817" s="375"/>
      <c r="G817" s="375"/>
      <c r="H817" s="375"/>
      <c r="I817" s="375"/>
      <c r="J817" s="375"/>
      <c r="K817" s="375"/>
    </row>
    <row r="818" spans="1:11" ht="12.75">
      <c r="A818" s="375"/>
      <c r="B818" s="375"/>
      <c r="C818" s="375"/>
      <c r="D818" s="375"/>
      <c r="E818" s="375"/>
      <c r="F818" s="375"/>
      <c r="G818" s="375"/>
      <c r="H818" s="375"/>
      <c r="I818" s="375"/>
      <c r="J818" s="375"/>
      <c r="K818" s="375"/>
    </row>
    <row r="819" spans="1:11" ht="12.75">
      <c r="A819" s="375"/>
      <c r="B819" s="375"/>
      <c r="C819" s="375"/>
      <c r="D819" s="375"/>
      <c r="E819" s="375"/>
      <c r="F819" s="375"/>
      <c r="G819" s="375"/>
      <c r="H819" s="375"/>
      <c r="I819" s="375"/>
      <c r="J819" s="375"/>
      <c r="K819" s="375"/>
    </row>
    <row r="820" spans="1:11" ht="12.75">
      <c r="A820" s="375"/>
      <c r="B820" s="375"/>
      <c r="C820" s="375"/>
      <c r="D820" s="375"/>
      <c r="E820" s="375"/>
      <c r="F820" s="375"/>
      <c r="G820" s="375"/>
      <c r="H820" s="375"/>
      <c r="I820" s="375"/>
      <c r="J820" s="375"/>
      <c r="K820" s="375"/>
    </row>
    <row r="821" spans="1:11" ht="12.75">
      <c r="A821" s="375"/>
      <c r="B821" s="375"/>
      <c r="C821" s="375"/>
      <c r="D821" s="375"/>
      <c r="E821" s="375"/>
      <c r="F821" s="375"/>
      <c r="G821" s="375"/>
      <c r="H821" s="375"/>
      <c r="I821" s="375"/>
      <c r="J821" s="375"/>
      <c r="K821" s="375"/>
    </row>
    <row r="822" spans="1:11" ht="12.75">
      <c r="A822" s="375"/>
      <c r="B822" s="375"/>
      <c r="C822" s="375"/>
      <c r="D822" s="375"/>
      <c r="E822" s="375"/>
      <c r="F822" s="375"/>
      <c r="G822" s="375"/>
      <c r="H822" s="375"/>
      <c r="I822" s="375"/>
      <c r="J822" s="375"/>
      <c r="K822" s="375"/>
    </row>
    <row r="823" spans="1:11" ht="12.75">
      <c r="A823" s="375"/>
      <c r="B823" s="375"/>
      <c r="C823" s="375"/>
      <c r="D823" s="375"/>
      <c r="E823" s="375"/>
      <c r="F823" s="375"/>
      <c r="G823" s="375"/>
      <c r="H823" s="375"/>
      <c r="I823" s="375"/>
      <c r="J823" s="375"/>
      <c r="K823" s="375"/>
    </row>
    <row r="824" spans="1:11" ht="12.75">
      <c r="A824" s="375"/>
      <c r="B824" s="375"/>
      <c r="C824" s="375"/>
      <c r="D824" s="375"/>
      <c r="E824" s="375"/>
      <c r="F824" s="375"/>
      <c r="G824" s="375"/>
      <c r="H824" s="375"/>
      <c r="I824" s="375"/>
      <c r="J824" s="375"/>
      <c r="K824" s="375"/>
    </row>
    <row r="825" spans="1:11" ht="12.75">
      <c r="A825" s="375"/>
      <c r="B825" s="375"/>
      <c r="C825" s="375"/>
      <c r="D825" s="375"/>
      <c r="E825" s="375"/>
      <c r="F825" s="375"/>
      <c r="G825" s="375"/>
      <c r="H825" s="375"/>
      <c r="I825" s="375"/>
      <c r="J825" s="375"/>
      <c r="K825" s="375"/>
    </row>
    <row r="826" spans="1:11" ht="12.75">
      <c r="A826" s="375"/>
      <c r="B826" s="375"/>
      <c r="C826" s="375"/>
      <c r="D826" s="375"/>
      <c r="E826" s="375"/>
      <c r="F826" s="375"/>
      <c r="G826" s="375"/>
      <c r="H826" s="375"/>
      <c r="I826" s="375"/>
      <c r="J826" s="375"/>
      <c r="K826" s="375"/>
    </row>
    <row r="827" spans="1:11" ht="12.75">
      <c r="A827" s="375"/>
      <c r="B827" s="375"/>
      <c r="C827" s="375"/>
      <c r="D827" s="375"/>
      <c r="E827" s="375"/>
      <c r="F827" s="375"/>
      <c r="G827" s="375"/>
      <c r="H827" s="375"/>
      <c r="I827" s="375"/>
      <c r="J827" s="375"/>
      <c r="K827" s="375"/>
    </row>
    <row r="828" spans="1:11" ht="12.75">
      <c r="A828" s="375"/>
      <c r="B828" s="375"/>
      <c r="C828" s="375"/>
      <c r="D828" s="375"/>
      <c r="E828" s="375"/>
      <c r="F828" s="375"/>
      <c r="G828" s="375"/>
      <c r="H828" s="375"/>
      <c r="I828" s="375"/>
      <c r="J828" s="375"/>
      <c r="K828" s="375"/>
    </row>
    <row r="829" spans="1:11" ht="12.75">
      <c r="A829" s="375"/>
      <c r="B829" s="375"/>
      <c r="C829" s="375"/>
      <c r="D829" s="375"/>
      <c r="E829" s="375"/>
      <c r="F829" s="375"/>
      <c r="G829" s="375"/>
      <c r="H829" s="375"/>
      <c r="I829" s="375"/>
      <c r="J829" s="375"/>
      <c r="K829" s="375"/>
    </row>
    <row r="830" spans="1:11" ht="12.75">
      <c r="A830" s="375"/>
      <c r="B830" s="375"/>
      <c r="C830" s="375"/>
      <c r="D830" s="375"/>
      <c r="E830" s="375"/>
      <c r="F830" s="375"/>
      <c r="G830" s="375"/>
      <c r="H830" s="375"/>
      <c r="I830" s="375"/>
      <c r="J830" s="375"/>
      <c r="K830" s="375"/>
    </row>
    <row r="831" spans="1:11" ht="12.75">
      <c r="A831" s="375"/>
      <c r="B831" s="375"/>
      <c r="C831" s="375"/>
      <c r="D831" s="375"/>
      <c r="E831" s="375"/>
      <c r="F831" s="375"/>
      <c r="G831" s="375"/>
      <c r="H831" s="375"/>
      <c r="I831" s="375"/>
      <c r="J831" s="375"/>
      <c r="K831" s="375"/>
    </row>
    <row r="832" spans="1:11" ht="12.75">
      <c r="A832" s="375"/>
      <c r="B832" s="375"/>
      <c r="C832" s="375"/>
      <c r="D832" s="375"/>
      <c r="E832" s="375"/>
      <c r="F832" s="375"/>
      <c r="G832" s="375"/>
      <c r="H832" s="375"/>
      <c r="I832" s="375"/>
      <c r="J832" s="375"/>
      <c r="K832" s="375"/>
    </row>
    <row r="833" spans="1:11" ht="12.75">
      <c r="A833" s="375"/>
      <c r="B833" s="375"/>
      <c r="C833" s="375"/>
      <c r="D833" s="375"/>
      <c r="E833" s="375"/>
      <c r="F833" s="375"/>
      <c r="G833" s="375"/>
      <c r="H833" s="375"/>
      <c r="I833" s="375"/>
      <c r="J833" s="375"/>
      <c r="K833" s="375"/>
    </row>
    <row r="834" spans="1:11" ht="12.75">
      <c r="A834" s="375"/>
      <c r="B834" s="375"/>
      <c r="C834" s="375"/>
      <c r="D834" s="375"/>
      <c r="E834" s="375"/>
      <c r="F834" s="375"/>
      <c r="G834" s="375"/>
      <c r="H834" s="375"/>
      <c r="I834" s="375"/>
      <c r="J834" s="375"/>
      <c r="K834" s="375"/>
    </row>
    <row r="835" spans="1:11" ht="12.75">
      <c r="A835" s="375"/>
      <c r="B835" s="375"/>
      <c r="C835" s="375"/>
      <c r="D835" s="375"/>
      <c r="E835" s="375"/>
      <c r="F835" s="375"/>
      <c r="G835" s="375"/>
      <c r="H835" s="375"/>
      <c r="I835" s="375"/>
      <c r="J835" s="375"/>
      <c r="K835" s="375"/>
    </row>
    <row r="836" spans="1:11" ht="12.75">
      <c r="A836" s="375"/>
      <c r="B836" s="375"/>
      <c r="C836" s="375"/>
      <c r="D836" s="375"/>
      <c r="E836" s="375"/>
      <c r="F836" s="375"/>
      <c r="G836" s="375"/>
      <c r="H836" s="375"/>
      <c r="I836" s="375"/>
      <c r="J836" s="375"/>
      <c r="K836" s="375"/>
    </row>
    <row r="837" spans="1:11" ht="12.75">
      <c r="A837" s="375"/>
      <c r="B837" s="375"/>
      <c r="C837" s="375"/>
      <c r="D837" s="375"/>
      <c r="E837" s="375"/>
      <c r="F837" s="375"/>
      <c r="G837" s="375"/>
      <c r="H837" s="375"/>
      <c r="I837" s="375"/>
      <c r="J837" s="375"/>
      <c r="K837" s="375"/>
    </row>
    <row r="838" spans="1:11" ht="12.75">
      <c r="A838" s="375"/>
      <c r="B838" s="375"/>
      <c r="C838" s="375"/>
      <c r="D838" s="375"/>
      <c r="E838" s="375"/>
      <c r="F838" s="375"/>
      <c r="G838" s="375"/>
      <c r="H838" s="375"/>
      <c r="I838" s="375"/>
      <c r="J838" s="375"/>
      <c r="K838" s="375"/>
    </row>
    <row r="839" spans="1:11" ht="12.75">
      <c r="A839" s="375"/>
      <c r="B839" s="375"/>
      <c r="C839" s="375"/>
      <c r="D839" s="375"/>
      <c r="E839" s="375"/>
      <c r="F839" s="375"/>
      <c r="G839" s="375"/>
      <c r="H839" s="375"/>
      <c r="I839" s="375"/>
      <c r="J839" s="375"/>
      <c r="K839" s="375"/>
    </row>
    <row r="840" spans="1:11" ht="12.75">
      <c r="A840" s="375"/>
      <c r="B840" s="375"/>
      <c r="C840" s="375"/>
      <c r="D840" s="375"/>
      <c r="E840" s="375"/>
      <c r="F840" s="375"/>
      <c r="G840" s="375"/>
      <c r="H840" s="375"/>
      <c r="I840" s="375"/>
      <c r="J840" s="375"/>
      <c r="K840" s="375"/>
    </row>
    <row r="841" spans="1:11" ht="12.75">
      <c r="A841" s="375"/>
      <c r="B841" s="375"/>
      <c r="C841" s="375"/>
      <c r="D841" s="375"/>
      <c r="E841" s="375"/>
      <c r="F841" s="375"/>
      <c r="G841" s="375"/>
      <c r="H841" s="375"/>
      <c r="I841" s="375"/>
      <c r="J841" s="375"/>
      <c r="K841" s="375"/>
    </row>
    <row r="842" spans="1:11" ht="12.75">
      <c r="A842" s="375"/>
      <c r="B842" s="375"/>
      <c r="C842" s="375"/>
      <c r="D842" s="375"/>
      <c r="E842" s="375"/>
      <c r="F842" s="375"/>
      <c r="G842" s="375"/>
      <c r="H842" s="375"/>
      <c r="I842" s="375"/>
      <c r="J842" s="375"/>
      <c r="K842" s="375"/>
    </row>
    <row r="843" spans="1:11" ht="12.75">
      <c r="A843" s="375"/>
      <c r="B843" s="375"/>
      <c r="C843" s="375"/>
      <c r="D843" s="375"/>
      <c r="E843" s="375"/>
      <c r="F843" s="375"/>
      <c r="G843" s="375"/>
      <c r="H843" s="375"/>
      <c r="I843" s="375"/>
      <c r="J843" s="375"/>
      <c r="K843" s="375"/>
    </row>
    <row r="844" spans="1:11" ht="12.75">
      <c r="A844" s="375"/>
      <c r="B844" s="375"/>
      <c r="C844" s="375"/>
      <c r="D844" s="375"/>
      <c r="E844" s="375"/>
      <c r="F844" s="375"/>
      <c r="G844" s="375"/>
      <c r="H844" s="375"/>
      <c r="I844" s="375"/>
      <c r="J844" s="375"/>
      <c r="K844" s="375"/>
    </row>
    <row r="845" spans="1:11" ht="12.75">
      <c r="A845" s="375"/>
      <c r="B845" s="375"/>
      <c r="C845" s="375"/>
      <c r="D845" s="375"/>
      <c r="E845" s="375"/>
      <c r="F845" s="375"/>
      <c r="G845" s="375"/>
      <c r="H845" s="375"/>
      <c r="I845" s="375"/>
      <c r="J845" s="375"/>
      <c r="K845" s="375"/>
    </row>
    <row r="846" spans="1:11" ht="12.75">
      <c r="A846" s="375"/>
      <c r="B846" s="375"/>
      <c r="C846" s="375"/>
      <c r="D846" s="375"/>
      <c r="E846" s="375"/>
      <c r="F846" s="375"/>
      <c r="G846" s="375"/>
      <c r="H846" s="375"/>
      <c r="I846" s="375"/>
      <c r="J846" s="375"/>
      <c r="K846" s="375"/>
    </row>
    <row r="847" spans="1:11" ht="12.75">
      <c r="A847" s="375"/>
      <c r="B847" s="375"/>
      <c r="C847" s="375"/>
      <c r="D847" s="375"/>
      <c r="E847" s="375"/>
      <c r="F847" s="375"/>
      <c r="G847" s="375"/>
      <c r="H847" s="375"/>
      <c r="I847" s="375"/>
      <c r="J847" s="375"/>
      <c r="K847" s="375"/>
    </row>
    <row r="848" spans="1:11" ht="12.75">
      <c r="A848" s="375"/>
      <c r="B848" s="375"/>
      <c r="C848" s="375"/>
      <c r="D848" s="375"/>
      <c r="E848" s="375"/>
      <c r="F848" s="375"/>
      <c r="G848" s="375"/>
      <c r="H848" s="375"/>
      <c r="I848" s="375"/>
      <c r="J848" s="375"/>
      <c r="K848" s="375"/>
    </row>
    <row r="849" spans="1:11" ht="12.75">
      <c r="A849" s="375"/>
      <c r="B849" s="375"/>
      <c r="C849" s="375"/>
      <c r="D849" s="375"/>
      <c r="E849" s="375"/>
      <c r="F849" s="375"/>
      <c r="G849" s="375"/>
      <c r="H849" s="375"/>
      <c r="I849" s="375"/>
      <c r="J849" s="375"/>
      <c r="K849" s="375"/>
    </row>
    <row r="850" spans="1:11" ht="12.75">
      <c r="A850" s="375"/>
      <c r="B850" s="375"/>
      <c r="C850" s="375"/>
      <c r="D850" s="375"/>
      <c r="E850" s="375"/>
      <c r="F850" s="375"/>
      <c r="G850" s="375"/>
      <c r="H850" s="375"/>
      <c r="I850" s="375"/>
      <c r="J850" s="375"/>
      <c r="K850" s="375"/>
    </row>
    <row r="851" spans="1:11" ht="12.75">
      <c r="A851" s="375"/>
      <c r="B851" s="375"/>
      <c r="C851" s="375"/>
      <c r="D851" s="375"/>
      <c r="E851" s="375"/>
      <c r="F851" s="375"/>
      <c r="G851" s="375"/>
      <c r="H851" s="375"/>
      <c r="I851" s="375"/>
      <c r="J851" s="375"/>
      <c r="K851" s="375"/>
    </row>
    <row r="852" spans="1:11" ht="12.75">
      <c r="A852" s="375"/>
      <c r="B852" s="375"/>
      <c r="C852" s="375"/>
      <c r="D852" s="375"/>
      <c r="E852" s="375"/>
      <c r="F852" s="375"/>
      <c r="G852" s="375"/>
      <c r="H852" s="375"/>
      <c r="I852" s="375"/>
      <c r="J852" s="375"/>
      <c r="K852" s="375"/>
    </row>
    <row r="853" spans="1:11" ht="12.75">
      <c r="A853" s="375"/>
      <c r="B853" s="375"/>
      <c r="C853" s="375"/>
      <c r="D853" s="375"/>
      <c r="E853" s="375"/>
      <c r="F853" s="375"/>
      <c r="G853" s="375"/>
      <c r="H853" s="375"/>
      <c r="I853" s="375"/>
      <c r="J853" s="375"/>
      <c r="K853" s="375"/>
    </row>
    <row r="854" spans="1:11" ht="12.75">
      <c r="A854" s="375"/>
      <c r="B854" s="375"/>
      <c r="C854" s="375"/>
      <c r="D854" s="375"/>
      <c r="E854" s="375"/>
      <c r="F854" s="375"/>
      <c r="G854" s="375"/>
      <c r="H854" s="375"/>
      <c r="I854" s="375"/>
      <c r="J854" s="375"/>
      <c r="K854" s="375"/>
    </row>
    <row r="855" spans="1:11" ht="12.75">
      <c r="A855" s="375"/>
      <c r="B855" s="375"/>
      <c r="C855" s="375"/>
      <c r="D855" s="375"/>
      <c r="E855" s="375"/>
      <c r="F855" s="375"/>
      <c r="G855" s="375"/>
      <c r="H855" s="375"/>
      <c r="I855" s="375"/>
      <c r="J855" s="375"/>
      <c r="K855" s="375"/>
    </row>
    <row r="856" spans="1:11" ht="12.75">
      <c r="A856" s="375"/>
      <c r="B856" s="375"/>
      <c r="C856" s="375"/>
      <c r="D856" s="375"/>
      <c r="E856" s="375"/>
      <c r="F856" s="375"/>
      <c r="G856" s="375"/>
      <c r="H856" s="375"/>
      <c r="I856" s="375"/>
      <c r="J856" s="375"/>
      <c r="K856" s="375"/>
    </row>
    <row r="857" spans="1:11" ht="12.75">
      <c r="A857" s="375"/>
      <c r="B857" s="375"/>
      <c r="C857" s="375"/>
      <c r="D857" s="375"/>
      <c r="E857" s="375"/>
      <c r="F857" s="375"/>
      <c r="G857" s="375"/>
      <c r="H857" s="375"/>
      <c r="I857" s="375"/>
      <c r="J857" s="375"/>
      <c r="K857" s="375"/>
    </row>
    <row r="858" spans="1:11" ht="12.75">
      <c r="A858" s="375"/>
      <c r="B858" s="375"/>
      <c r="C858" s="375"/>
      <c r="D858" s="375"/>
      <c r="E858" s="375"/>
      <c r="F858" s="375"/>
      <c r="G858" s="375"/>
      <c r="H858" s="375"/>
      <c r="I858" s="375"/>
      <c r="J858" s="375"/>
      <c r="K858" s="375"/>
    </row>
    <row r="859" spans="1:11" ht="12.75">
      <c r="A859" s="375"/>
      <c r="B859" s="375"/>
      <c r="C859" s="375"/>
      <c r="D859" s="375"/>
      <c r="E859" s="375"/>
      <c r="F859" s="375"/>
      <c r="G859" s="375"/>
      <c r="H859" s="375"/>
      <c r="I859" s="375"/>
      <c r="J859" s="375"/>
      <c r="K859" s="375"/>
    </row>
    <row r="860" spans="1:11" ht="12.75">
      <c r="A860" s="375"/>
      <c r="B860" s="375"/>
      <c r="C860" s="375"/>
      <c r="D860" s="375"/>
      <c r="E860" s="375"/>
      <c r="F860" s="375"/>
      <c r="G860" s="375"/>
      <c r="H860" s="375"/>
      <c r="I860" s="375"/>
      <c r="J860" s="375"/>
      <c r="K860" s="375"/>
    </row>
    <row r="861" spans="1:11" ht="12.75">
      <c r="A861" s="375"/>
      <c r="B861" s="375"/>
      <c r="C861" s="375"/>
      <c r="D861" s="375"/>
      <c r="E861" s="375"/>
      <c r="F861" s="375"/>
      <c r="G861" s="375"/>
      <c r="H861" s="375"/>
      <c r="I861" s="375"/>
      <c r="J861" s="375"/>
      <c r="K861" s="375"/>
    </row>
    <row r="862" spans="1:11" ht="12.75">
      <c r="A862" s="375"/>
      <c r="B862" s="375"/>
      <c r="C862" s="375"/>
      <c r="D862" s="375"/>
      <c r="E862" s="375"/>
      <c r="F862" s="375"/>
      <c r="G862" s="375"/>
      <c r="H862" s="375"/>
      <c r="I862" s="375"/>
      <c r="J862" s="375"/>
      <c r="K862" s="375"/>
    </row>
    <row r="863" spans="1:11" ht="12.75">
      <c r="A863" s="375"/>
      <c r="B863" s="375"/>
      <c r="C863" s="375"/>
      <c r="D863" s="375"/>
      <c r="E863" s="375"/>
      <c r="F863" s="375"/>
      <c r="G863" s="375"/>
      <c r="H863" s="375"/>
      <c r="I863" s="375"/>
      <c r="J863" s="375"/>
      <c r="K863" s="375"/>
    </row>
    <row r="864" spans="1:11" ht="12.75">
      <c r="A864" s="375"/>
      <c r="B864" s="375"/>
      <c r="C864" s="375"/>
      <c r="D864" s="375"/>
      <c r="E864" s="375"/>
      <c r="F864" s="375"/>
      <c r="G864" s="375"/>
      <c r="H864" s="375"/>
      <c r="I864" s="375"/>
      <c r="J864" s="375"/>
      <c r="K864" s="375"/>
    </row>
    <row r="865" spans="1:11" ht="12.75">
      <c r="A865" s="375"/>
      <c r="B865" s="375"/>
      <c r="C865" s="375"/>
      <c r="D865" s="375"/>
      <c r="E865" s="375"/>
      <c r="F865" s="375"/>
      <c r="G865" s="375"/>
      <c r="H865" s="375"/>
      <c r="I865" s="375"/>
      <c r="J865" s="375"/>
      <c r="K865" s="375"/>
    </row>
    <row r="866" spans="1:11" ht="12.75">
      <c r="A866" s="375"/>
      <c r="B866" s="375"/>
      <c r="C866" s="375"/>
      <c r="D866" s="375"/>
      <c r="E866" s="375"/>
      <c r="F866" s="375"/>
      <c r="G866" s="375"/>
      <c r="H866" s="375"/>
      <c r="I866" s="375"/>
      <c r="J866" s="375"/>
      <c r="K866" s="375"/>
    </row>
    <row r="867" spans="1:11" ht="12.75">
      <c r="A867" s="375"/>
      <c r="B867" s="375"/>
      <c r="C867" s="375"/>
      <c r="D867" s="375"/>
      <c r="E867" s="375"/>
      <c r="F867" s="375"/>
      <c r="G867" s="375"/>
      <c r="H867" s="375"/>
      <c r="I867" s="375"/>
      <c r="J867" s="375"/>
      <c r="K867" s="375"/>
    </row>
    <row r="868" spans="1:11" ht="12.75">
      <c r="A868" s="375"/>
      <c r="B868" s="375"/>
      <c r="C868" s="375"/>
      <c r="D868" s="375"/>
      <c r="E868" s="375"/>
      <c r="F868" s="375"/>
      <c r="G868" s="375"/>
      <c r="H868" s="375"/>
      <c r="I868" s="375"/>
      <c r="J868" s="375"/>
      <c r="K868" s="375"/>
    </row>
    <row r="869" spans="1:11" ht="12.75">
      <c r="A869" s="375"/>
      <c r="B869" s="375"/>
      <c r="C869" s="375"/>
      <c r="D869" s="375"/>
      <c r="E869" s="375"/>
      <c r="F869" s="375"/>
      <c r="G869" s="375"/>
      <c r="H869" s="375"/>
      <c r="I869" s="375"/>
      <c r="J869" s="375"/>
      <c r="K869" s="375"/>
    </row>
    <row r="870" spans="1:11" ht="12.75">
      <c r="A870" s="375"/>
      <c r="B870" s="375"/>
      <c r="C870" s="375"/>
      <c r="D870" s="375"/>
      <c r="E870" s="375"/>
      <c r="F870" s="375"/>
      <c r="G870" s="375"/>
      <c r="H870" s="375"/>
      <c r="I870" s="375"/>
      <c r="J870" s="375"/>
      <c r="K870" s="375"/>
    </row>
    <row r="871" spans="1:11" ht="12.75">
      <c r="A871" s="375"/>
      <c r="B871" s="375"/>
      <c r="C871" s="375"/>
      <c r="D871" s="375"/>
      <c r="E871" s="375"/>
      <c r="F871" s="375"/>
      <c r="G871" s="375"/>
      <c r="H871" s="375"/>
      <c r="I871" s="375"/>
      <c r="J871" s="375"/>
      <c r="K871" s="375"/>
    </row>
    <row r="872" spans="1:11" ht="12.75">
      <c r="A872" s="375"/>
      <c r="B872" s="375"/>
      <c r="C872" s="375"/>
      <c r="D872" s="375"/>
      <c r="E872" s="375"/>
      <c r="F872" s="375"/>
      <c r="G872" s="375"/>
      <c r="H872" s="375"/>
      <c r="I872" s="375"/>
      <c r="J872" s="375"/>
      <c r="K872" s="375"/>
    </row>
    <row r="873" spans="1:11" ht="12.75">
      <c r="A873" s="375"/>
      <c r="B873" s="375"/>
      <c r="C873" s="375"/>
      <c r="D873" s="375"/>
      <c r="E873" s="375"/>
      <c r="F873" s="375"/>
      <c r="G873" s="375"/>
      <c r="H873" s="375"/>
      <c r="I873" s="375"/>
      <c r="J873" s="375"/>
      <c r="K873" s="375"/>
    </row>
    <row r="874" spans="1:11" ht="12.75">
      <c r="A874" s="375"/>
      <c r="B874" s="375"/>
      <c r="C874" s="375"/>
      <c r="D874" s="375"/>
      <c r="E874" s="375"/>
      <c r="F874" s="375"/>
      <c r="G874" s="375"/>
      <c r="H874" s="375"/>
      <c r="I874" s="375"/>
      <c r="J874" s="375"/>
      <c r="K874" s="375"/>
    </row>
    <row r="875" spans="1:11" ht="12.75">
      <c r="A875" s="375"/>
      <c r="B875" s="375"/>
      <c r="C875" s="375"/>
      <c r="D875" s="375"/>
      <c r="E875" s="375"/>
      <c r="F875" s="375"/>
      <c r="G875" s="375"/>
      <c r="H875" s="375"/>
      <c r="I875" s="375"/>
      <c r="J875" s="375"/>
      <c r="K875" s="375"/>
    </row>
    <row r="876" spans="1:11" ht="12.75">
      <c r="A876" s="375"/>
      <c r="B876" s="375"/>
      <c r="C876" s="375"/>
      <c r="D876" s="375"/>
      <c r="E876" s="375"/>
      <c r="F876" s="375"/>
      <c r="G876" s="375"/>
      <c r="H876" s="375"/>
      <c r="I876" s="375"/>
      <c r="J876" s="375"/>
      <c r="K876" s="375"/>
    </row>
    <row r="877" spans="1:11" ht="12.75">
      <c r="A877" s="375"/>
      <c r="B877" s="375"/>
      <c r="C877" s="375"/>
      <c r="D877" s="375"/>
      <c r="E877" s="375"/>
      <c r="F877" s="375"/>
      <c r="G877" s="375"/>
      <c r="H877" s="375"/>
      <c r="I877" s="375"/>
      <c r="J877" s="375"/>
      <c r="K877" s="375"/>
    </row>
    <row r="878" spans="1:11" ht="12.75">
      <c r="A878" s="375"/>
      <c r="B878" s="375"/>
      <c r="C878" s="375"/>
      <c r="D878" s="375"/>
      <c r="E878" s="375"/>
      <c r="F878" s="375"/>
      <c r="G878" s="375"/>
      <c r="H878" s="375"/>
      <c r="I878" s="375"/>
      <c r="J878" s="375"/>
      <c r="K878" s="375"/>
    </row>
    <row r="879" spans="1:11" ht="12.75">
      <c r="A879" s="375"/>
      <c r="B879" s="375"/>
      <c r="C879" s="375"/>
      <c r="D879" s="375"/>
      <c r="E879" s="375"/>
      <c r="F879" s="375"/>
      <c r="G879" s="375"/>
      <c r="H879" s="375"/>
      <c r="I879" s="375"/>
      <c r="J879" s="375"/>
      <c r="K879" s="375"/>
    </row>
    <row r="880" spans="1:11" ht="12.75">
      <c r="A880" s="375"/>
      <c r="B880" s="375"/>
      <c r="C880" s="375"/>
      <c r="D880" s="375"/>
      <c r="E880" s="375"/>
      <c r="F880" s="375"/>
      <c r="G880" s="375"/>
      <c r="H880" s="375"/>
      <c r="I880" s="375"/>
      <c r="J880" s="375"/>
      <c r="K880" s="375"/>
    </row>
    <row r="881" spans="1:11" ht="12.75">
      <c r="A881" s="375"/>
      <c r="B881" s="375"/>
      <c r="C881" s="375"/>
      <c r="D881" s="375"/>
      <c r="E881" s="375"/>
      <c r="F881" s="375"/>
      <c r="G881" s="375"/>
      <c r="H881" s="375"/>
      <c r="I881" s="375"/>
      <c r="J881" s="375"/>
      <c r="K881" s="375"/>
    </row>
    <row r="882" spans="1:11" ht="12.75">
      <c r="A882" s="375"/>
      <c r="B882" s="375"/>
      <c r="C882" s="375"/>
      <c r="D882" s="375"/>
      <c r="E882" s="375"/>
      <c r="F882" s="375"/>
      <c r="G882" s="375"/>
      <c r="H882" s="375"/>
      <c r="I882" s="375"/>
      <c r="J882" s="375"/>
      <c r="K882" s="375"/>
    </row>
    <row r="883" spans="1:11" ht="12.75">
      <c r="A883" s="375"/>
      <c r="B883" s="375"/>
      <c r="C883" s="375"/>
      <c r="D883" s="375"/>
      <c r="E883" s="375"/>
      <c r="F883" s="375"/>
      <c r="G883" s="375"/>
      <c r="H883" s="375"/>
      <c r="I883" s="375"/>
      <c r="J883" s="375"/>
      <c r="K883" s="375"/>
    </row>
    <row r="884" spans="1:11" ht="12.75">
      <c r="A884" s="375"/>
      <c r="B884" s="375"/>
      <c r="C884" s="375"/>
      <c r="D884" s="375"/>
      <c r="E884" s="375"/>
      <c r="F884" s="375"/>
      <c r="G884" s="375"/>
      <c r="H884" s="375"/>
      <c r="I884" s="375"/>
      <c r="J884" s="375"/>
      <c r="K884" s="375"/>
    </row>
    <row r="885" spans="1:11" ht="12.75">
      <c r="A885" s="375"/>
      <c r="B885" s="375"/>
      <c r="C885" s="375"/>
      <c r="D885" s="375"/>
      <c r="E885" s="375"/>
      <c r="F885" s="375"/>
      <c r="G885" s="375"/>
      <c r="H885" s="375"/>
      <c r="I885" s="375"/>
      <c r="J885" s="375"/>
      <c r="K885" s="375"/>
    </row>
    <row r="886" spans="1:11" ht="12.75">
      <c r="A886" s="375"/>
      <c r="B886" s="375"/>
      <c r="C886" s="375"/>
      <c r="D886" s="375"/>
      <c r="E886" s="375"/>
      <c r="F886" s="375"/>
      <c r="G886" s="375"/>
      <c r="H886" s="375"/>
      <c r="I886" s="375"/>
      <c r="J886" s="375"/>
      <c r="K886" s="375"/>
    </row>
    <row r="887" spans="1:11" ht="12.75">
      <c r="A887" s="375"/>
      <c r="B887" s="375"/>
      <c r="C887" s="375"/>
      <c r="D887" s="375"/>
      <c r="E887" s="375"/>
      <c r="F887" s="375"/>
      <c r="G887" s="375"/>
      <c r="H887" s="375"/>
      <c r="I887" s="375"/>
      <c r="J887" s="375"/>
      <c r="K887" s="375"/>
    </row>
    <row r="888" spans="1:11" ht="12.75">
      <c r="A888" s="375"/>
      <c r="B888" s="375"/>
      <c r="C888" s="375"/>
      <c r="D888" s="375"/>
      <c r="E888" s="375"/>
      <c r="F888" s="375"/>
      <c r="G888" s="375"/>
      <c r="H888" s="375"/>
      <c r="I888" s="375"/>
      <c r="J888" s="375"/>
      <c r="K888" s="375"/>
    </row>
    <row r="889" spans="1:11" ht="12.75">
      <c r="A889" s="375"/>
      <c r="B889" s="375"/>
      <c r="C889" s="375"/>
      <c r="D889" s="375"/>
      <c r="E889" s="375"/>
      <c r="F889" s="375"/>
      <c r="G889" s="375"/>
      <c r="H889" s="375"/>
      <c r="I889" s="375"/>
      <c r="J889" s="375"/>
      <c r="K889" s="375"/>
    </row>
    <row r="890" spans="1:11" ht="12.75">
      <c r="A890" s="375"/>
      <c r="B890" s="375"/>
      <c r="C890" s="375"/>
      <c r="D890" s="375"/>
      <c r="E890" s="375"/>
      <c r="F890" s="375"/>
      <c r="G890" s="375"/>
      <c r="H890" s="375"/>
      <c r="I890" s="375"/>
      <c r="J890" s="375"/>
      <c r="K890" s="375"/>
    </row>
    <row r="891" spans="1:11" ht="12.75">
      <c r="A891" s="375"/>
      <c r="B891" s="375"/>
      <c r="C891" s="375"/>
      <c r="D891" s="375"/>
      <c r="E891" s="375"/>
      <c r="F891" s="375"/>
      <c r="G891" s="375"/>
      <c r="H891" s="375"/>
      <c r="I891" s="375"/>
      <c r="J891" s="375"/>
      <c r="K891" s="375"/>
    </row>
    <row r="892" spans="1:11" ht="12.75">
      <c r="A892" s="375"/>
      <c r="B892" s="375"/>
      <c r="C892" s="375"/>
      <c r="D892" s="375"/>
      <c r="E892" s="375"/>
      <c r="F892" s="375"/>
      <c r="G892" s="375"/>
      <c r="H892" s="375"/>
      <c r="I892" s="375"/>
      <c r="J892" s="375"/>
      <c r="K892" s="375"/>
    </row>
    <row r="893" spans="1:11" ht="12.75">
      <c r="A893" s="375"/>
      <c r="B893" s="375"/>
      <c r="C893" s="375"/>
      <c r="D893" s="375"/>
      <c r="E893" s="375"/>
      <c r="F893" s="375"/>
      <c r="G893" s="375"/>
      <c r="H893" s="375"/>
      <c r="I893" s="375"/>
      <c r="J893" s="375"/>
      <c r="K893" s="375"/>
    </row>
    <row r="894" spans="1:11" ht="12.75">
      <c r="A894" s="375"/>
      <c r="B894" s="375"/>
      <c r="C894" s="375"/>
      <c r="D894" s="375"/>
      <c r="E894" s="375"/>
      <c r="F894" s="375"/>
      <c r="G894" s="375"/>
      <c r="H894" s="375"/>
      <c r="I894" s="375"/>
      <c r="J894" s="375"/>
      <c r="K894" s="375"/>
    </row>
    <row r="895" spans="1:11" ht="12.75">
      <c r="A895" s="375"/>
      <c r="B895" s="375"/>
      <c r="C895" s="375"/>
      <c r="D895" s="375"/>
      <c r="E895" s="375"/>
      <c r="F895" s="375"/>
      <c r="G895" s="375"/>
      <c r="H895" s="375"/>
      <c r="I895" s="375"/>
      <c r="J895" s="375"/>
      <c r="K895" s="375"/>
    </row>
    <row r="896" spans="1:11" ht="12.75">
      <c r="A896" s="375"/>
      <c r="B896" s="375"/>
      <c r="C896" s="375"/>
      <c r="D896" s="375"/>
      <c r="E896" s="375"/>
      <c r="F896" s="375"/>
      <c r="G896" s="375"/>
      <c r="H896" s="375"/>
      <c r="I896" s="375"/>
      <c r="J896" s="375"/>
      <c r="K896" s="375"/>
    </row>
    <row r="897" spans="1:11" ht="12.75">
      <c r="A897" s="375"/>
      <c r="B897" s="375"/>
      <c r="C897" s="375"/>
      <c r="D897" s="375"/>
      <c r="E897" s="375"/>
      <c r="F897" s="375"/>
      <c r="G897" s="375"/>
      <c r="H897" s="375"/>
      <c r="I897" s="375"/>
      <c r="J897" s="375"/>
      <c r="K897" s="375"/>
    </row>
    <row r="898" spans="1:11" ht="12.75">
      <c r="A898" s="375"/>
      <c r="B898" s="375"/>
      <c r="C898" s="375"/>
      <c r="D898" s="375"/>
      <c r="E898" s="375"/>
      <c r="F898" s="375"/>
      <c r="G898" s="375"/>
      <c r="H898" s="375"/>
      <c r="I898" s="375"/>
      <c r="J898" s="375"/>
      <c r="K898" s="375"/>
    </row>
    <row r="899" spans="1:11" ht="12.75">
      <c r="A899" s="375"/>
      <c r="B899" s="375"/>
      <c r="C899" s="375"/>
      <c r="D899" s="375"/>
      <c r="E899" s="375"/>
      <c r="F899" s="375"/>
      <c r="G899" s="375"/>
      <c r="H899" s="375"/>
      <c r="I899" s="375"/>
      <c r="J899" s="375"/>
      <c r="K899" s="375"/>
    </row>
    <row r="900" spans="1:11" ht="12.75">
      <c r="A900" s="375"/>
      <c r="B900" s="375"/>
      <c r="C900" s="375"/>
      <c r="D900" s="375"/>
      <c r="E900" s="375"/>
      <c r="F900" s="375"/>
      <c r="G900" s="375"/>
      <c r="H900" s="375"/>
      <c r="I900" s="375"/>
      <c r="J900" s="375"/>
      <c r="K900" s="375"/>
    </row>
    <row r="901" spans="1:11" ht="12.75">
      <c r="A901" s="375"/>
      <c r="B901" s="375"/>
      <c r="C901" s="375"/>
      <c r="D901" s="375"/>
      <c r="E901" s="375"/>
      <c r="F901" s="375"/>
      <c r="G901" s="375"/>
      <c r="H901" s="375"/>
      <c r="I901" s="375"/>
      <c r="J901" s="375"/>
      <c r="K901" s="375"/>
    </row>
    <row r="902" spans="1:11" ht="12.75">
      <c r="A902" s="375"/>
      <c r="B902" s="375"/>
      <c r="C902" s="375"/>
      <c r="D902" s="375"/>
      <c r="E902" s="375"/>
      <c r="F902" s="375"/>
      <c r="G902" s="375"/>
      <c r="H902" s="375"/>
      <c r="I902" s="375"/>
      <c r="J902" s="375"/>
      <c r="K902" s="375"/>
    </row>
    <row r="903" spans="1:11" ht="12.75">
      <c r="A903" s="375"/>
      <c r="B903" s="375"/>
      <c r="C903" s="375"/>
      <c r="D903" s="375"/>
      <c r="E903" s="375"/>
      <c r="F903" s="375"/>
      <c r="G903" s="375"/>
      <c r="H903" s="375"/>
      <c r="I903" s="375"/>
      <c r="J903" s="375"/>
      <c r="K903" s="375"/>
    </row>
    <row r="904" spans="1:11" ht="12.75">
      <c r="A904" s="375"/>
      <c r="B904" s="375"/>
      <c r="C904" s="375"/>
      <c r="D904" s="375"/>
      <c r="E904" s="375"/>
      <c r="F904" s="375"/>
      <c r="G904" s="375"/>
      <c r="H904" s="375"/>
      <c r="I904" s="375"/>
      <c r="J904" s="375"/>
      <c r="K904" s="375"/>
    </row>
    <row r="905" spans="1:11" ht="12.75">
      <c r="A905" s="375"/>
      <c r="B905" s="375"/>
      <c r="C905" s="375"/>
      <c r="D905" s="375"/>
      <c r="E905" s="375"/>
      <c r="F905" s="375"/>
      <c r="G905" s="375"/>
      <c r="H905" s="375"/>
      <c r="I905" s="375"/>
      <c r="J905" s="375"/>
      <c r="K905" s="375"/>
    </row>
    <row r="906" spans="1:11" ht="12.75">
      <c r="A906" s="375"/>
      <c r="B906" s="375"/>
      <c r="C906" s="375"/>
      <c r="D906" s="375"/>
      <c r="E906" s="375"/>
      <c r="F906" s="375"/>
      <c r="G906" s="375"/>
      <c r="H906" s="375"/>
      <c r="I906" s="375"/>
      <c r="J906" s="375"/>
      <c r="K906" s="375"/>
    </row>
    <row r="907" spans="1:11" ht="12.75">
      <c r="A907" s="375"/>
      <c r="B907" s="375"/>
      <c r="C907" s="375"/>
      <c r="D907" s="375"/>
      <c r="E907" s="375"/>
      <c r="F907" s="375"/>
      <c r="G907" s="375"/>
      <c r="H907" s="375"/>
      <c r="I907" s="375"/>
      <c r="J907" s="375"/>
      <c r="K907" s="375"/>
    </row>
    <row r="908" spans="1:11" ht="12.75">
      <c r="A908" s="375"/>
      <c r="B908" s="375"/>
      <c r="C908" s="375"/>
      <c r="D908" s="375"/>
      <c r="E908" s="375"/>
      <c r="F908" s="375"/>
      <c r="G908" s="375"/>
      <c r="H908" s="375"/>
      <c r="I908" s="375"/>
      <c r="J908" s="375"/>
      <c r="K908" s="375"/>
    </row>
    <row r="909" spans="1:11" ht="12.75">
      <c r="A909" s="375"/>
      <c r="B909" s="375"/>
      <c r="C909" s="375"/>
      <c r="D909" s="375"/>
      <c r="E909" s="375"/>
      <c r="F909" s="375"/>
      <c r="G909" s="375"/>
      <c r="H909" s="375"/>
      <c r="I909" s="375"/>
      <c r="J909" s="375"/>
      <c r="K909" s="375"/>
    </row>
    <row r="910" spans="1:11" ht="12.75">
      <c r="A910" s="375"/>
      <c r="B910" s="375"/>
      <c r="C910" s="375"/>
      <c r="D910" s="375"/>
      <c r="E910" s="375"/>
      <c r="F910" s="375"/>
      <c r="G910" s="375"/>
      <c r="H910" s="375"/>
      <c r="I910" s="375"/>
      <c r="J910" s="375"/>
      <c r="K910" s="375"/>
    </row>
    <row r="911" spans="1:11" ht="12.75">
      <c r="A911" s="375"/>
      <c r="B911" s="375"/>
      <c r="C911" s="375"/>
      <c r="D911" s="375"/>
      <c r="E911" s="375"/>
      <c r="F911" s="375"/>
      <c r="G911" s="375"/>
      <c r="H911" s="375"/>
      <c r="I911" s="375"/>
      <c r="J911" s="375"/>
      <c r="K911" s="375"/>
    </row>
    <row r="912" spans="1:11" ht="12.75">
      <c r="A912" s="375"/>
      <c r="B912" s="375"/>
      <c r="C912" s="375"/>
      <c r="D912" s="375"/>
      <c r="E912" s="375"/>
      <c r="F912" s="375"/>
      <c r="G912" s="375"/>
      <c r="H912" s="375"/>
      <c r="I912" s="375"/>
      <c r="J912" s="375"/>
      <c r="K912" s="375"/>
    </row>
    <row r="913" spans="1:11" ht="12.75">
      <c r="A913" s="375"/>
      <c r="B913" s="375"/>
      <c r="C913" s="375"/>
      <c r="D913" s="375"/>
      <c r="E913" s="375"/>
      <c r="F913" s="375"/>
      <c r="G913" s="375"/>
      <c r="H913" s="375"/>
      <c r="I913" s="375"/>
      <c r="J913" s="375"/>
      <c r="K913" s="375"/>
    </row>
    <row r="914" spans="1:11" ht="12.75">
      <c r="A914" s="375"/>
      <c r="B914" s="375"/>
      <c r="C914" s="375"/>
      <c r="D914" s="375"/>
      <c r="E914" s="375"/>
      <c r="F914" s="375"/>
      <c r="G914" s="375"/>
      <c r="H914" s="375"/>
      <c r="I914" s="375"/>
      <c r="J914" s="375"/>
      <c r="K914" s="375"/>
    </row>
    <row r="915" spans="1:11" ht="12.75">
      <c r="A915" s="375"/>
      <c r="B915" s="375"/>
      <c r="C915" s="375"/>
      <c r="D915" s="375"/>
      <c r="E915" s="375"/>
      <c r="F915" s="375"/>
      <c r="G915" s="375"/>
      <c r="H915" s="375"/>
      <c r="I915" s="375"/>
      <c r="J915" s="375"/>
      <c r="K915" s="375"/>
    </row>
    <row r="916" spans="1:11" ht="12.75">
      <c r="A916" s="375"/>
      <c r="B916" s="375"/>
      <c r="C916" s="375"/>
      <c r="D916" s="375"/>
      <c r="E916" s="375"/>
      <c r="F916" s="375"/>
      <c r="G916" s="375"/>
      <c r="H916" s="375"/>
      <c r="I916" s="375"/>
      <c r="J916" s="375"/>
      <c r="K916" s="375"/>
    </row>
    <row r="917" spans="1:11" ht="12.75">
      <c r="A917" s="375"/>
      <c r="B917" s="375"/>
      <c r="C917" s="375"/>
      <c r="D917" s="375"/>
      <c r="E917" s="375"/>
      <c r="F917" s="375"/>
      <c r="G917" s="375"/>
      <c r="H917" s="375"/>
      <c r="I917" s="375"/>
      <c r="J917" s="375"/>
      <c r="K917" s="375"/>
    </row>
    <row r="918" spans="1:11" ht="12.75">
      <c r="A918" s="375"/>
      <c r="B918" s="375"/>
      <c r="C918" s="375"/>
      <c r="D918" s="375"/>
      <c r="E918" s="375"/>
      <c r="F918" s="375"/>
      <c r="G918" s="375"/>
      <c r="H918" s="375"/>
      <c r="I918" s="375"/>
      <c r="J918" s="375"/>
      <c r="K918" s="375"/>
    </row>
    <row r="919" spans="1:11" ht="12.75">
      <c r="A919" s="375"/>
      <c r="B919" s="375"/>
      <c r="C919" s="375"/>
      <c r="D919" s="375"/>
      <c r="E919" s="375"/>
      <c r="F919" s="375"/>
      <c r="G919" s="375"/>
      <c r="H919" s="375"/>
      <c r="I919" s="375"/>
      <c r="J919" s="375"/>
      <c r="K919" s="375"/>
    </row>
    <row r="920" spans="1:11" ht="12.75">
      <c r="A920" s="375"/>
      <c r="B920" s="375"/>
      <c r="C920" s="375"/>
      <c r="D920" s="375"/>
      <c r="E920" s="375"/>
      <c r="F920" s="375"/>
      <c r="G920" s="375"/>
      <c r="H920" s="375"/>
      <c r="I920" s="375"/>
      <c r="J920" s="375"/>
      <c r="K920" s="375"/>
    </row>
    <row r="921" spans="1:11" ht="12.75">
      <c r="A921" s="375"/>
      <c r="B921" s="375"/>
      <c r="C921" s="375"/>
      <c r="D921" s="375"/>
      <c r="E921" s="375"/>
      <c r="F921" s="375"/>
      <c r="G921" s="375"/>
      <c r="H921" s="375"/>
      <c r="I921" s="375"/>
      <c r="J921" s="375"/>
      <c r="K921" s="375"/>
    </row>
    <row r="922" spans="1:11" ht="12.75">
      <c r="A922" s="375"/>
      <c r="B922" s="375"/>
      <c r="C922" s="375"/>
      <c r="D922" s="375"/>
      <c r="E922" s="375"/>
      <c r="F922" s="375"/>
      <c r="G922" s="375"/>
      <c r="H922" s="375"/>
      <c r="I922" s="375"/>
      <c r="J922" s="375"/>
      <c r="K922" s="375"/>
    </row>
    <row r="923" spans="1:11" ht="12.75">
      <c r="A923" s="375"/>
      <c r="B923" s="375"/>
      <c r="C923" s="375"/>
      <c r="D923" s="375"/>
      <c r="E923" s="375"/>
      <c r="F923" s="375"/>
      <c r="G923" s="375"/>
      <c r="H923" s="375"/>
      <c r="I923" s="375"/>
      <c r="J923" s="375"/>
      <c r="K923" s="375"/>
    </row>
    <row r="924" spans="1:11" ht="12.75">
      <c r="A924" s="375"/>
      <c r="B924" s="375"/>
      <c r="C924" s="375"/>
      <c r="D924" s="375"/>
      <c r="E924" s="375"/>
      <c r="F924" s="375"/>
      <c r="G924" s="375"/>
      <c r="H924" s="375"/>
      <c r="I924" s="375"/>
      <c r="J924" s="375"/>
      <c r="K924" s="375"/>
    </row>
    <row r="925" spans="1:11" ht="12.75">
      <c r="A925" s="375"/>
      <c r="B925" s="375"/>
      <c r="C925" s="375"/>
      <c r="D925" s="375"/>
      <c r="E925" s="375"/>
      <c r="F925" s="375"/>
      <c r="G925" s="375"/>
      <c r="H925" s="375"/>
      <c r="I925" s="375"/>
      <c r="J925" s="375"/>
      <c r="K925" s="375"/>
    </row>
    <row r="926" spans="1:11" ht="12.75">
      <c r="A926" s="375"/>
      <c r="B926" s="375"/>
      <c r="C926" s="375"/>
      <c r="D926" s="375"/>
      <c r="E926" s="375"/>
      <c r="F926" s="375"/>
      <c r="G926" s="375"/>
      <c r="H926" s="375"/>
      <c r="I926" s="375"/>
      <c r="J926" s="375"/>
      <c r="K926" s="375"/>
    </row>
    <row r="927" spans="1:11" ht="12.75">
      <c r="A927" s="375"/>
      <c r="B927" s="375"/>
      <c r="C927" s="375"/>
      <c r="D927" s="375"/>
      <c r="E927" s="375"/>
      <c r="F927" s="375"/>
      <c r="G927" s="375"/>
      <c r="H927" s="375"/>
      <c r="I927" s="375"/>
      <c r="J927" s="375"/>
      <c r="K927" s="375"/>
    </row>
    <row r="928" spans="1:11" ht="12.75">
      <c r="A928" s="375"/>
      <c r="B928" s="375"/>
      <c r="C928" s="375"/>
      <c r="D928" s="375"/>
      <c r="E928" s="375"/>
      <c r="F928" s="375"/>
      <c r="G928" s="375"/>
      <c r="H928" s="375"/>
      <c r="I928" s="375"/>
      <c r="J928" s="375"/>
      <c r="K928" s="375"/>
    </row>
    <row r="929" spans="1:11" ht="12.75">
      <c r="A929" s="375"/>
      <c r="B929" s="375"/>
      <c r="C929" s="375"/>
      <c r="D929" s="375"/>
      <c r="E929" s="375"/>
      <c r="F929" s="375"/>
      <c r="G929" s="375"/>
      <c r="H929" s="375"/>
      <c r="I929" s="375"/>
      <c r="J929" s="375"/>
      <c r="K929" s="375"/>
    </row>
    <row r="930" spans="1:11" ht="12.75">
      <c r="A930" s="375"/>
      <c r="B930" s="375"/>
      <c r="C930" s="375"/>
      <c r="D930" s="375"/>
      <c r="E930" s="375"/>
      <c r="F930" s="375"/>
      <c r="G930" s="375"/>
      <c r="H930" s="375"/>
      <c r="I930" s="375"/>
      <c r="J930" s="375"/>
      <c r="K930" s="375"/>
    </row>
    <row r="931" spans="1:11" ht="12.75">
      <c r="A931" s="375"/>
      <c r="B931" s="375"/>
      <c r="C931" s="375"/>
      <c r="D931" s="375"/>
      <c r="E931" s="375"/>
      <c r="F931" s="375"/>
      <c r="G931" s="375"/>
      <c r="H931" s="375"/>
      <c r="I931" s="375"/>
      <c r="J931" s="375"/>
      <c r="K931" s="375"/>
    </row>
    <row r="932" spans="1:11" ht="12.75">
      <c r="A932" s="375"/>
      <c r="B932" s="375"/>
      <c r="C932" s="375"/>
      <c r="D932" s="375"/>
      <c r="E932" s="375"/>
      <c r="F932" s="375"/>
      <c r="G932" s="375"/>
      <c r="H932" s="375"/>
      <c r="I932" s="375"/>
      <c r="J932" s="375"/>
      <c r="K932" s="375"/>
    </row>
    <row r="933" spans="1:11" ht="12.75">
      <c r="A933" s="375"/>
      <c r="B933" s="375"/>
      <c r="C933" s="375"/>
      <c r="D933" s="375"/>
      <c r="E933" s="375"/>
      <c r="F933" s="375"/>
      <c r="G933" s="375"/>
      <c r="H933" s="375"/>
      <c r="I933" s="375"/>
      <c r="J933" s="375"/>
      <c r="K933" s="375"/>
    </row>
    <row r="934" spans="1:11" ht="12.75">
      <c r="A934" s="375"/>
      <c r="B934" s="375"/>
      <c r="C934" s="375"/>
      <c r="D934" s="375"/>
      <c r="E934" s="375"/>
      <c r="F934" s="375"/>
      <c r="G934" s="375"/>
      <c r="H934" s="375"/>
      <c r="I934" s="375"/>
      <c r="J934" s="375"/>
      <c r="K934" s="375"/>
    </row>
    <row r="935" spans="1:11" ht="12.75">
      <c r="A935" s="375"/>
      <c r="B935" s="375"/>
      <c r="C935" s="375"/>
      <c r="D935" s="375"/>
      <c r="E935" s="375"/>
      <c r="F935" s="375"/>
      <c r="G935" s="375"/>
      <c r="H935" s="375"/>
      <c r="I935" s="375"/>
      <c r="J935" s="375"/>
      <c r="K935" s="375"/>
    </row>
    <row r="936" spans="1:11" ht="12.75">
      <c r="A936" s="375"/>
      <c r="B936" s="375"/>
      <c r="C936" s="375"/>
      <c r="D936" s="375"/>
      <c r="E936" s="375"/>
      <c r="F936" s="375"/>
      <c r="G936" s="375"/>
      <c r="H936" s="375"/>
      <c r="I936" s="375"/>
      <c r="J936" s="375"/>
      <c r="K936" s="375"/>
    </row>
    <row r="937" spans="1:11" ht="12.75">
      <c r="A937" s="375"/>
      <c r="B937" s="375"/>
      <c r="C937" s="375"/>
      <c r="D937" s="375"/>
      <c r="E937" s="375"/>
      <c r="F937" s="375"/>
      <c r="G937" s="375"/>
      <c r="H937" s="375"/>
      <c r="I937" s="375"/>
      <c r="J937" s="375"/>
      <c r="K937" s="375"/>
    </row>
    <row r="938" spans="1:11" ht="12.75">
      <c r="A938" s="375"/>
      <c r="B938" s="375"/>
      <c r="C938" s="375"/>
      <c r="D938" s="375"/>
      <c r="E938" s="375"/>
      <c r="F938" s="375"/>
      <c r="G938" s="375"/>
      <c r="H938" s="375"/>
      <c r="I938" s="375"/>
      <c r="J938" s="375"/>
      <c r="K938" s="375"/>
    </row>
    <row r="939" spans="1:11" ht="12.75">
      <c r="A939" s="375"/>
      <c r="B939" s="375"/>
      <c r="C939" s="375"/>
      <c r="D939" s="375"/>
      <c r="E939" s="375"/>
      <c r="F939" s="375"/>
      <c r="G939" s="375"/>
      <c r="H939" s="375"/>
      <c r="I939" s="375"/>
      <c r="J939" s="375"/>
      <c r="K939" s="375"/>
    </row>
    <row r="940" spans="1:11" ht="12.75">
      <c r="A940" s="375"/>
      <c r="B940" s="375"/>
      <c r="C940" s="375"/>
      <c r="D940" s="375"/>
      <c r="E940" s="375"/>
      <c r="F940" s="375"/>
      <c r="G940" s="375"/>
      <c r="H940" s="375"/>
      <c r="I940" s="375"/>
      <c r="J940" s="375"/>
      <c r="K940" s="375"/>
    </row>
    <row r="941" spans="1:11" ht="12.75">
      <c r="A941" s="375"/>
      <c r="B941" s="375"/>
      <c r="C941" s="375"/>
      <c r="D941" s="375"/>
      <c r="E941" s="375"/>
      <c r="F941" s="375"/>
      <c r="G941" s="375"/>
      <c r="H941" s="375"/>
      <c r="I941" s="375"/>
      <c r="J941" s="375"/>
      <c r="K941" s="375"/>
    </row>
    <row r="942" spans="1:11" ht="12.75">
      <c r="A942" s="375"/>
      <c r="B942" s="375"/>
      <c r="C942" s="375"/>
      <c r="D942" s="375"/>
      <c r="E942" s="375"/>
      <c r="F942" s="375"/>
      <c r="G942" s="375"/>
      <c r="H942" s="375"/>
      <c r="I942" s="375"/>
      <c r="J942" s="375"/>
      <c r="K942" s="375"/>
    </row>
    <row r="943" spans="1:11" ht="12.75">
      <c r="A943" s="375"/>
      <c r="B943" s="375"/>
      <c r="C943" s="375"/>
      <c r="D943" s="375"/>
      <c r="E943" s="375"/>
      <c r="F943" s="375"/>
      <c r="G943" s="375"/>
      <c r="H943" s="375"/>
      <c r="I943" s="375"/>
      <c r="J943" s="375"/>
      <c r="K943" s="375"/>
    </row>
    <row r="944" spans="1:11" ht="12.75">
      <c r="A944" s="375"/>
      <c r="B944" s="375"/>
      <c r="C944" s="375"/>
      <c r="D944" s="375"/>
      <c r="E944" s="375"/>
      <c r="F944" s="375"/>
      <c r="G944" s="375"/>
      <c r="H944" s="375"/>
      <c r="I944" s="375"/>
      <c r="J944" s="375"/>
      <c r="K944" s="375"/>
    </row>
    <row r="945" spans="1:11" ht="12.75">
      <c r="A945" s="375"/>
      <c r="B945" s="375"/>
      <c r="C945" s="375"/>
      <c r="D945" s="375"/>
      <c r="E945" s="375"/>
      <c r="F945" s="375"/>
      <c r="G945" s="375"/>
      <c r="H945" s="375"/>
      <c r="I945" s="375"/>
      <c r="J945" s="375"/>
      <c r="K945" s="375"/>
    </row>
    <row r="946" spans="1:11" ht="12.75">
      <c r="A946" s="375"/>
      <c r="B946" s="375"/>
      <c r="C946" s="375"/>
      <c r="D946" s="375"/>
      <c r="E946" s="375"/>
      <c r="F946" s="375"/>
      <c r="G946" s="375"/>
      <c r="H946" s="375"/>
      <c r="I946" s="375"/>
      <c r="J946" s="375"/>
      <c r="K946" s="375"/>
    </row>
    <row r="947" spans="1:11" ht="12.75">
      <c r="A947" s="375"/>
      <c r="B947" s="375"/>
      <c r="C947" s="375"/>
      <c r="D947" s="375"/>
      <c r="E947" s="375"/>
      <c r="F947" s="375"/>
      <c r="G947" s="375"/>
      <c r="H947" s="375"/>
      <c r="I947" s="375"/>
      <c r="J947" s="375"/>
      <c r="K947" s="375"/>
    </row>
    <row r="948" spans="1:11" ht="12.75">
      <c r="A948" s="375"/>
      <c r="B948" s="375"/>
      <c r="C948" s="375"/>
      <c r="D948" s="375"/>
      <c r="E948" s="375"/>
      <c r="F948" s="375"/>
      <c r="G948" s="375"/>
      <c r="H948" s="375"/>
      <c r="I948" s="375"/>
      <c r="J948" s="375"/>
      <c r="K948" s="375"/>
    </row>
    <row r="949" spans="1:11" ht="12.75">
      <c r="A949" s="375"/>
      <c r="B949" s="375"/>
      <c r="C949" s="375"/>
      <c r="D949" s="375"/>
      <c r="E949" s="375"/>
      <c r="F949" s="375"/>
      <c r="G949" s="375"/>
      <c r="H949" s="375"/>
      <c r="I949" s="375"/>
      <c r="J949" s="375"/>
      <c r="K949" s="375"/>
    </row>
    <row r="950" spans="1:11" ht="12.75">
      <c r="A950" s="375"/>
      <c r="B950" s="375"/>
      <c r="C950" s="375"/>
      <c r="D950" s="375"/>
      <c r="E950" s="375"/>
      <c r="F950" s="375"/>
      <c r="G950" s="375"/>
      <c r="H950" s="375"/>
      <c r="I950" s="375"/>
      <c r="J950" s="375"/>
      <c r="K950" s="375"/>
    </row>
    <row r="951" spans="1:11" ht="12.75">
      <c r="A951" s="375"/>
      <c r="B951" s="375"/>
      <c r="C951" s="375"/>
      <c r="D951" s="375"/>
      <c r="E951" s="375"/>
      <c r="F951" s="375"/>
      <c r="G951" s="375"/>
      <c r="H951" s="375"/>
      <c r="I951" s="375"/>
      <c r="J951" s="375"/>
      <c r="K951" s="375"/>
    </row>
    <row r="952" spans="1:11" ht="12.75">
      <c r="A952" s="375"/>
      <c r="B952" s="375"/>
      <c r="C952" s="375"/>
      <c r="D952" s="375"/>
      <c r="E952" s="375"/>
      <c r="F952" s="375"/>
      <c r="G952" s="375"/>
      <c r="H952" s="375"/>
      <c r="I952" s="375"/>
      <c r="J952" s="375"/>
      <c r="K952" s="375"/>
    </row>
    <row r="953" spans="1:11" ht="12.75">
      <c r="A953" s="375"/>
      <c r="B953" s="375"/>
      <c r="C953" s="375"/>
      <c r="D953" s="375"/>
      <c r="E953" s="375"/>
      <c r="F953" s="375"/>
      <c r="G953" s="375"/>
      <c r="H953" s="375"/>
      <c r="I953" s="375"/>
      <c r="J953" s="375"/>
      <c r="K953" s="375"/>
    </row>
    <row r="954" spans="1:11" ht="12.75">
      <c r="A954" s="375"/>
      <c r="B954" s="375"/>
      <c r="C954" s="375"/>
      <c r="D954" s="375"/>
      <c r="E954" s="375"/>
      <c r="F954" s="375"/>
      <c r="G954" s="375"/>
      <c r="H954" s="375"/>
      <c r="I954" s="375"/>
      <c r="J954" s="375"/>
      <c r="K954" s="375"/>
    </row>
    <row r="955" spans="1:11" ht="12.75">
      <c r="A955" s="375"/>
      <c r="B955" s="375"/>
      <c r="C955" s="375"/>
      <c r="D955" s="375"/>
      <c r="E955" s="375"/>
      <c r="F955" s="375"/>
      <c r="G955" s="375"/>
      <c r="H955" s="375"/>
      <c r="I955" s="375"/>
      <c r="J955" s="375"/>
      <c r="K955" s="375"/>
    </row>
    <row r="956" spans="1:11" ht="12.75">
      <c r="A956" s="375"/>
      <c r="B956" s="375"/>
      <c r="C956" s="375"/>
      <c r="D956" s="375"/>
      <c r="E956" s="375"/>
      <c r="F956" s="375"/>
      <c r="G956" s="375"/>
      <c r="H956" s="375"/>
      <c r="I956" s="375"/>
      <c r="J956" s="375"/>
      <c r="K956" s="375"/>
    </row>
    <row r="957" spans="1:11" ht="12.75">
      <c r="A957" s="375"/>
      <c r="B957" s="375"/>
      <c r="C957" s="375"/>
      <c r="D957" s="375"/>
      <c r="E957" s="375"/>
      <c r="F957" s="375"/>
      <c r="G957" s="375"/>
      <c r="H957" s="375"/>
      <c r="I957" s="375"/>
      <c r="J957" s="375"/>
      <c r="K957" s="375"/>
    </row>
    <row r="958" spans="1:11" ht="12.75">
      <c r="A958" s="375"/>
      <c r="B958" s="375"/>
      <c r="C958" s="375"/>
      <c r="D958" s="375"/>
      <c r="E958" s="375"/>
      <c r="F958" s="375"/>
      <c r="G958" s="375"/>
      <c r="H958" s="375"/>
      <c r="I958" s="375"/>
      <c r="J958" s="375"/>
      <c r="K958" s="375"/>
    </row>
    <row r="959" spans="1:11" ht="12.75">
      <c r="A959" s="375"/>
      <c r="B959" s="375"/>
      <c r="C959" s="375"/>
      <c r="D959" s="375"/>
      <c r="E959" s="375"/>
      <c r="F959" s="375"/>
      <c r="G959" s="375"/>
      <c r="H959" s="375"/>
      <c r="I959" s="375"/>
      <c r="J959" s="375"/>
      <c r="K959" s="375"/>
    </row>
    <row r="960" spans="1:11" ht="12.75">
      <c r="A960" s="375"/>
      <c r="B960" s="375"/>
      <c r="C960" s="375"/>
      <c r="D960" s="375"/>
      <c r="E960" s="375"/>
      <c r="F960" s="375"/>
      <c r="G960" s="375"/>
      <c r="H960" s="375"/>
      <c r="I960" s="375"/>
      <c r="J960" s="375"/>
      <c r="K960" s="375"/>
    </row>
    <row r="961" spans="1:11" ht="12.75">
      <c r="A961" s="375"/>
      <c r="B961" s="375"/>
      <c r="C961" s="375"/>
      <c r="D961" s="375"/>
      <c r="E961" s="375"/>
      <c r="F961" s="375"/>
      <c r="G961" s="375"/>
      <c r="H961" s="375"/>
      <c r="I961" s="375"/>
      <c r="J961" s="375"/>
      <c r="K961" s="375"/>
    </row>
    <row r="962" spans="1:11" ht="12.75">
      <c r="A962" s="375"/>
      <c r="B962" s="375"/>
      <c r="C962" s="375"/>
      <c r="D962" s="375"/>
      <c r="E962" s="375"/>
      <c r="F962" s="375"/>
      <c r="G962" s="375"/>
      <c r="H962" s="375"/>
      <c r="I962" s="375"/>
      <c r="J962" s="375"/>
      <c r="K962" s="375"/>
    </row>
    <row r="963" spans="1:11" ht="12.75">
      <c r="A963" s="375"/>
      <c r="B963" s="375"/>
      <c r="C963" s="375"/>
      <c r="D963" s="375"/>
      <c r="E963" s="375"/>
      <c r="F963" s="375"/>
      <c r="G963" s="375"/>
      <c r="H963" s="375"/>
      <c r="I963" s="375"/>
      <c r="J963" s="375"/>
      <c r="K963" s="375"/>
    </row>
    <row r="964" spans="1:11" ht="12.75">
      <c r="A964" s="375"/>
      <c r="B964" s="375"/>
      <c r="C964" s="375"/>
      <c r="D964" s="375"/>
      <c r="E964" s="375"/>
      <c r="F964" s="375"/>
      <c r="G964" s="375"/>
      <c r="H964" s="375"/>
      <c r="I964" s="375"/>
      <c r="J964" s="375"/>
      <c r="K964" s="375"/>
    </row>
    <row r="965" spans="1:11" ht="12.75">
      <c r="A965" s="375"/>
      <c r="B965" s="375"/>
      <c r="C965" s="375"/>
      <c r="D965" s="375"/>
      <c r="E965" s="375"/>
      <c r="F965" s="375"/>
      <c r="G965" s="375"/>
      <c r="H965" s="375"/>
      <c r="I965" s="375"/>
      <c r="J965" s="375"/>
      <c r="K965" s="375"/>
    </row>
    <row r="966" spans="1:11" ht="12.75">
      <c r="A966" s="375"/>
      <c r="B966" s="375"/>
      <c r="C966" s="375"/>
      <c r="D966" s="375"/>
      <c r="E966" s="375"/>
      <c r="F966" s="375"/>
      <c r="G966" s="375"/>
      <c r="H966" s="375"/>
      <c r="I966" s="375"/>
      <c r="J966" s="375"/>
      <c r="K966" s="375"/>
    </row>
    <row r="967" spans="1:11" ht="12.75">
      <c r="A967" s="375"/>
      <c r="B967" s="375"/>
      <c r="C967" s="375"/>
      <c r="D967" s="375"/>
      <c r="E967" s="375"/>
      <c r="F967" s="375"/>
      <c r="G967" s="375"/>
      <c r="H967" s="375"/>
      <c r="I967" s="375"/>
      <c r="J967" s="375"/>
      <c r="K967" s="375"/>
    </row>
    <row r="968" spans="1:11" ht="12.75">
      <c r="A968" s="375"/>
      <c r="B968" s="375"/>
      <c r="C968" s="375"/>
      <c r="D968" s="375"/>
      <c r="E968" s="375"/>
      <c r="F968" s="375"/>
      <c r="G968" s="375"/>
      <c r="H968" s="375"/>
      <c r="I968" s="375"/>
      <c r="J968" s="375"/>
      <c r="K968" s="375"/>
    </row>
    <row r="969" spans="1:11" ht="12.75">
      <c r="A969" s="375"/>
      <c r="B969" s="375"/>
      <c r="C969" s="375"/>
      <c r="D969" s="375"/>
      <c r="E969" s="375"/>
      <c r="F969" s="375"/>
      <c r="G969" s="375"/>
      <c r="H969" s="375"/>
      <c r="I969" s="375"/>
      <c r="J969" s="375"/>
      <c r="K969" s="375"/>
    </row>
    <row r="970" spans="1:11" ht="12.75">
      <c r="A970" s="375"/>
      <c r="B970" s="375"/>
      <c r="C970" s="375"/>
      <c r="D970" s="375"/>
      <c r="E970" s="375"/>
      <c r="F970" s="375"/>
      <c r="G970" s="375"/>
      <c r="H970" s="375"/>
      <c r="I970" s="375"/>
      <c r="J970" s="375"/>
      <c r="K970" s="375"/>
    </row>
    <row r="971" spans="1:11" ht="12.75">
      <c r="A971" s="375"/>
      <c r="B971" s="375"/>
      <c r="C971" s="375"/>
      <c r="D971" s="375"/>
      <c r="E971" s="375"/>
      <c r="F971" s="375"/>
      <c r="G971" s="375"/>
      <c r="H971" s="375"/>
      <c r="I971" s="375"/>
      <c r="J971" s="375"/>
      <c r="K971" s="375"/>
    </row>
    <row r="972" spans="1:11" ht="12.75">
      <c r="A972" s="375"/>
      <c r="B972" s="375"/>
      <c r="C972" s="375"/>
      <c r="D972" s="375"/>
      <c r="E972" s="375"/>
      <c r="F972" s="375"/>
      <c r="G972" s="375"/>
      <c r="H972" s="375"/>
      <c r="I972" s="375"/>
      <c r="J972" s="375"/>
      <c r="K972" s="375"/>
    </row>
    <row r="973" spans="1:11" ht="12.75">
      <c r="A973" s="375"/>
      <c r="B973" s="375"/>
      <c r="C973" s="375"/>
      <c r="D973" s="375"/>
      <c r="E973" s="375"/>
      <c r="F973" s="375"/>
      <c r="G973" s="375"/>
      <c r="H973" s="375"/>
      <c r="I973" s="375"/>
      <c r="J973" s="375"/>
      <c r="K973" s="375"/>
    </row>
    <row r="974" spans="1:11" ht="12.75">
      <c r="A974" s="375"/>
      <c r="B974" s="375"/>
      <c r="C974" s="375"/>
      <c r="D974" s="375"/>
      <c r="E974" s="375"/>
      <c r="F974" s="375"/>
      <c r="G974" s="375"/>
      <c r="H974" s="375"/>
      <c r="I974" s="375"/>
      <c r="J974" s="375"/>
      <c r="K974" s="375"/>
    </row>
    <row r="975" spans="1:11" ht="12.75">
      <c r="A975" s="375"/>
      <c r="B975" s="375"/>
      <c r="C975" s="375"/>
      <c r="D975" s="375"/>
      <c r="E975" s="375"/>
      <c r="F975" s="375"/>
      <c r="G975" s="375"/>
      <c r="H975" s="375"/>
      <c r="I975" s="375"/>
      <c r="J975" s="375"/>
      <c r="K975" s="375"/>
    </row>
    <row r="976" spans="1:11" ht="12.75">
      <c r="A976" s="375"/>
      <c r="B976" s="375"/>
      <c r="C976" s="375"/>
      <c r="D976" s="375"/>
      <c r="E976" s="375"/>
      <c r="F976" s="375"/>
      <c r="G976" s="375"/>
      <c r="H976" s="375"/>
      <c r="I976" s="375"/>
      <c r="J976" s="375"/>
      <c r="K976" s="375"/>
    </row>
    <row r="977" spans="1:11" ht="12.75">
      <c r="A977" s="375"/>
      <c r="B977" s="375"/>
      <c r="C977" s="375"/>
      <c r="D977" s="375"/>
      <c r="E977" s="375"/>
      <c r="F977" s="375"/>
      <c r="G977" s="375"/>
      <c r="H977" s="375"/>
      <c r="I977" s="375"/>
      <c r="J977" s="375"/>
      <c r="K977" s="375"/>
    </row>
    <row r="978" spans="1:11" ht="12.75">
      <c r="A978" s="375"/>
      <c r="B978" s="375"/>
      <c r="C978" s="375"/>
      <c r="D978" s="375"/>
      <c r="E978" s="375"/>
      <c r="F978" s="375"/>
      <c r="G978" s="375"/>
      <c r="H978" s="375"/>
      <c r="I978" s="375"/>
      <c r="J978" s="375"/>
      <c r="K978" s="375"/>
    </row>
    <row r="979" spans="1:11" ht="12.75">
      <c r="A979" s="375"/>
      <c r="B979" s="375"/>
      <c r="C979" s="375"/>
      <c r="D979" s="375"/>
      <c r="E979" s="375"/>
      <c r="F979" s="375"/>
      <c r="G979" s="375"/>
      <c r="H979" s="375"/>
      <c r="I979" s="375"/>
      <c r="J979" s="375"/>
      <c r="K979" s="375"/>
    </row>
    <row r="980" spans="1:11" ht="12.75">
      <c r="A980" s="375"/>
      <c r="B980" s="375"/>
      <c r="C980" s="375"/>
      <c r="D980" s="375"/>
      <c r="E980" s="375"/>
      <c r="F980" s="375"/>
      <c r="G980" s="375"/>
      <c r="H980" s="375"/>
      <c r="I980" s="375"/>
      <c r="J980" s="375"/>
      <c r="K980" s="375"/>
    </row>
    <row r="981" spans="1:11" ht="12.75">
      <c r="A981" s="375"/>
      <c r="B981" s="375"/>
      <c r="C981" s="375"/>
      <c r="D981" s="375"/>
      <c r="E981" s="375"/>
      <c r="F981" s="375"/>
      <c r="G981" s="375"/>
      <c r="H981" s="375"/>
      <c r="I981" s="375"/>
      <c r="J981" s="375"/>
      <c r="K981" s="375"/>
    </row>
    <row r="982" spans="1:11" ht="12.75">
      <c r="A982" s="375"/>
      <c r="B982" s="375"/>
      <c r="C982" s="375"/>
      <c r="D982" s="375"/>
      <c r="E982" s="375"/>
      <c r="F982" s="375"/>
      <c r="G982" s="375"/>
      <c r="H982" s="375"/>
      <c r="I982" s="375"/>
      <c r="J982" s="375"/>
      <c r="K982" s="375"/>
    </row>
    <row r="983" spans="1:11" ht="12.75">
      <c r="A983" s="375"/>
      <c r="B983" s="375"/>
      <c r="C983" s="375"/>
      <c r="D983" s="375"/>
      <c r="E983" s="375"/>
      <c r="F983" s="375"/>
      <c r="G983" s="375"/>
      <c r="H983" s="375"/>
      <c r="I983" s="375"/>
      <c r="J983" s="375"/>
      <c r="K983" s="375"/>
    </row>
    <row r="984" spans="1:11" ht="12.75">
      <c r="A984" s="375"/>
      <c r="B984" s="375"/>
      <c r="C984" s="375"/>
      <c r="D984" s="375"/>
      <c r="E984" s="375"/>
      <c r="F984" s="375"/>
      <c r="G984" s="375"/>
      <c r="H984" s="375"/>
      <c r="I984" s="375"/>
      <c r="J984" s="375"/>
      <c r="K984" s="375"/>
    </row>
    <row r="985" spans="1:11" ht="12.75">
      <c r="A985" s="375"/>
      <c r="B985" s="375"/>
      <c r="C985" s="375"/>
      <c r="D985" s="375"/>
      <c r="E985" s="375"/>
      <c r="F985" s="375"/>
      <c r="G985" s="375"/>
      <c r="H985" s="375"/>
      <c r="I985" s="375"/>
      <c r="J985" s="375"/>
      <c r="K985" s="375"/>
    </row>
    <row r="986" spans="1:11" ht="12.75">
      <c r="A986" s="375"/>
      <c r="B986" s="375"/>
      <c r="C986" s="375"/>
      <c r="D986" s="375"/>
      <c r="E986" s="375"/>
      <c r="F986" s="375"/>
      <c r="G986" s="375"/>
      <c r="H986" s="375"/>
      <c r="I986" s="375"/>
      <c r="J986" s="375"/>
      <c r="K986" s="375"/>
    </row>
    <row r="987" spans="1:11" ht="12.75">
      <c r="A987" s="375"/>
      <c r="B987" s="375"/>
      <c r="C987" s="375"/>
      <c r="D987" s="375"/>
      <c r="E987" s="375"/>
      <c r="F987" s="375"/>
      <c r="G987" s="375"/>
      <c r="H987" s="375"/>
      <c r="I987" s="375"/>
      <c r="J987" s="375"/>
      <c r="K987" s="375"/>
    </row>
    <row r="988" spans="1:11" ht="12.75">
      <c r="A988" s="375"/>
      <c r="B988" s="375"/>
      <c r="C988" s="375"/>
      <c r="D988" s="375"/>
      <c r="E988" s="375"/>
      <c r="F988" s="375"/>
      <c r="G988" s="375"/>
      <c r="H988" s="375"/>
      <c r="I988" s="375"/>
      <c r="J988" s="375"/>
      <c r="K988" s="375"/>
    </row>
    <row r="989" spans="1:11" ht="12.75">
      <c r="A989" s="375"/>
      <c r="B989" s="375"/>
      <c r="C989" s="375"/>
      <c r="D989" s="375"/>
      <c r="E989" s="375"/>
      <c r="F989" s="375"/>
      <c r="G989" s="375"/>
      <c r="H989" s="375"/>
      <c r="I989" s="375"/>
      <c r="J989" s="375"/>
      <c r="K989" s="375"/>
    </row>
    <row r="990" spans="1:11" ht="12.75">
      <c r="A990" s="375"/>
      <c r="B990" s="375"/>
      <c r="C990" s="375"/>
      <c r="D990" s="375"/>
      <c r="E990" s="375"/>
      <c r="F990" s="375"/>
      <c r="G990" s="375"/>
      <c r="H990" s="375"/>
      <c r="I990" s="375"/>
      <c r="J990" s="375"/>
      <c r="K990" s="375"/>
    </row>
    <row r="991" spans="1:11" ht="12.75">
      <c r="A991" s="375"/>
      <c r="B991" s="375"/>
      <c r="C991" s="375"/>
      <c r="D991" s="375"/>
      <c r="E991" s="375"/>
      <c r="F991" s="375"/>
      <c r="G991" s="375"/>
      <c r="H991" s="375"/>
      <c r="I991" s="375"/>
      <c r="J991" s="375"/>
      <c r="K991" s="375"/>
    </row>
    <row r="992" spans="1:11" ht="12.75">
      <c r="A992" s="375"/>
      <c r="B992" s="375"/>
      <c r="C992" s="375"/>
      <c r="D992" s="375"/>
      <c r="E992" s="375"/>
      <c r="F992" s="375"/>
      <c r="G992" s="375"/>
      <c r="H992" s="375"/>
      <c r="I992" s="375"/>
      <c r="J992" s="375"/>
      <c r="K992" s="375"/>
    </row>
    <row r="993" spans="1:11" ht="12.75">
      <c r="A993" s="375"/>
      <c r="B993" s="375"/>
      <c r="C993" s="375"/>
      <c r="D993" s="375"/>
      <c r="E993" s="375"/>
      <c r="F993" s="375"/>
      <c r="G993" s="375"/>
      <c r="H993" s="375"/>
      <c r="I993" s="375"/>
      <c r="J993" s="375"/>
      <c r="K993" s="375"/>
    </row>
    <row r="994" spans="1:11" ht="12.75">
      <c r="A994" s="375"/>
      <c r="B994" s="375"/>
      <c r="C994" s="375"/>
      <c r="D994" s="375"/>
      <c r="E994" s="375"/>
      <c r="F994" s="375"/>
      <c r="G994" s="375"/>
      <c r="H994" s="375"/>
      <c r="I994" s="375"/>
      <c r="J994" s="375"/>
      <c r="K994" s="375"/>
    </row>
    <row r="995" spans="1:11" ht="12.75">
      <c r="A995" s="375"/>
      <c r="B995" s="375"/>
      <c r="C995" s="375"/>
      <c r="D995" s="375"/>
      <c r="E995" s="375"/>
      <c r="F995" s="375"/>
      <c r="G995" s="375"/>
      <c r="H995" s="375"/>
      <c r="I995" s="375"/>
      <c r="J995" s="375"/>
      <c r="K995" s="375"/>
    </row>
    <row r="996" spans="1:11" ht="12.75">
      <c r="A996" s="375"/>
      <c r="B996" s="375"/>
      <c r="C996" s="375"/>
      <c r="D996" s="375"/>
      <c r="E996" s="375"/>
      <c r="F996" s="375"/>
      <c r="G996" s="375"/>
      <c r="H996" s="375"/>
      <c r="I996" s="375"/>
      <c r="J996" s="375"/>
      <c r="K996" s="375"/>
    </row>
    <row r="997" spans="1:11" ht="12.75">
      <c r="A997" s="375"/>
      <c r="B997" s="375"/>
      <c r="C997" s="375"/>
      <c r="D997" s="375"/>
      <c r="E997" s="375"/>
      <c r="F997" s="375"/>
      <c r="G997" s="375"/>
      <c r="H997" s="375"/>
      <c r="I997" s="375"/>
      <c r="J997" s="375"/>
      <c r="K997" s="375"/>
    </row>
    <row r="998" spans="1:11" ht="12.75">
      <c r="A998" s="375"/>
      <c r="B998" s="375"/>
      <c r="C998" s="375"/>
      <c r="D998" s="375"/>
      <c r="E998" s="375"/>
      <c r="F998" s="375"/>
      <c r="G998" s="375"/>
      <c r="H998" s="375"/>
      <c r="I998" s="375"/>
      <c r="J998" s="375"/>
      <c r="K998" s="375"/>
    </row>
    <row r="999" spans="1:11" ht="12.75">
      <c r="A999" s="375"/>
      <c r="B999" s="375"/>
      <c r="C999" s="375"/>
      <c r="D999" s="375"/>
      <c r="E999" s="375"/>
      <c r="F999" s="375"/>
      <c r="G999" s="375"/>
      <c r="H999" s="375"/>
      <c r="I999" s="375"/>
      <c r="J999" s="375"/>
      <c r="K999" s="375"/>
    </row>
    <row r="1000" spans="1:11" ht="12.75">
      <c r="A1000" s="375"/>
      <c r="B1000" s="375"/>
      <c r="C1000" s="375"/>
      <c r="D1000" s="375"/>
      <c r="E1000" s="375"/>
      <c r="F1000" s="375"/>
      <c r="G1000" s="375"/>
      <c r="H1000" s="375"/>
      <c r="I1000" s="375"/>
      <c r="J1000" s="375"/>
      <c r="K1000" s="375"/>
    </row>
    <row r="1001" spans="1:11" ht="12.75">
      <c r="A1001" s="375"/>
      <c r="B1001" s="375"/>
      <c r="C1001" s="375"/>
      <c r="D1001" s="375"/>
      <c r="E1001" s="375"/>
      <c r="F1001" s="375"/>
      <c r="G1001" s="375"/>
      <c r="H1001" s="375"/>
      <c r="I1001" s="375"/>
      <c r="J1001" s="375"/>
      <c r="K1001" s="375"/>
    </row>
    <row r="1002" spans="1:11" ht="12.75">
      <c r="A1002" s="375"/>
      <c r="B1002" s="375"/>
      <c r="C1002" s="375"/>
      <c r="D1002" s="375"/>
      <c r="E1002" s="375"/>
      <c r="F1002" s="375"/>
      <c r="G1002" s="375"/>
      <c r="H1002" s="375"/>
      <c r="I1002" s="375"/>
      <c r="J1002" s="375"/>
      <c r="K1002" s="375"/>
    </row>
    <row r="1003" spans="1:11" ht="12.75">
      <c r="A1003" s="375"/>
      <c r="B1003" s="375"/>
      <c r="C1003" s="375"/>
      <c r="D1003" s="375"/>
      <c r="E1003" s="375"/>
      <c r="F1003" s="375"/>
      <c r="G1003" s="375"/>
      <c r="H1003" s="375"/>
      <c r="I1003" s="375"/>
      <c r="J1003" s="375"/>
      <c r="K1003" s="375"/>
    </row>
    <row r="1004" spans="1:11" ht="12.75">
      <c r="A1004" s="375"/>
      <c r="B1004" s="375"/>
      <c r="C1004" s="375"/>
      <c r="D1004" s="375"/>
      <c r="E1004" s="375"/>
      <c r="F1004" s="375"/>
      <c r="G1004" s="375"/>
      <c r="H1004" s="375"/>
      <c r="I1004" s="375"/>
      <c r="J1004" s="375"/>
      <c r="K1004" s="375"/>
    </row>
    <row r="1005" spans="1:11" ht="12.75">
      <c r="A1005" s="375"/>
      <c r="B1005" s="375"/>
      <c r="C1005" s="375"/>
      <c r="D1005" s="375"/>
      <c r="E1005" s="375"/>
      <c r="F1005" s="375"/>
      <c r="G1005" s="375"/>
      <c r="H1005" s="375"/>
      <c r="I1005" s="375"/>
      <c r="J1005" s="375"/>
      <c r="K1005" s="375"/>
    </row>
    <row r="1006" spans="1:11" ht="12.75">
      <c r="A1006" s="375"/>
      <c r="B1006" s="375"/>
      <c r="C1006" s="375"/>
      <c r="D1006" s="375"/>
      <c r="E1006" s="375"/>
      <c r="F1006" s="375"/>
      <c r="G1006" s="375"/>
      <c r="H1006" s="375"/>
      <c r="I1006" s="375"/>
      <c r="J1006" s="375"/>
      <c r="K1006" s="375"/>
    </row>
    <row r="1007" spans="1:11" ht="12.75">
      <c r="A1007" s="375"/>
      <c r="B1007" s="375"/>
      <c r="C1007" s="375"/>
      <c r="D1007" s="375"/>
      <c r="E1007" s="375"/>
      <c r="F1007" s="375"/>
      <c r="G1007" s="375"/>
      <c r="H1007" s="375"/>
      <c r="I1007" s="375"/>
      <c r="J1007" s="375"/>
      <c r="K1007" s="375"/>
    </row>
    <row r="1008" spans="1:11" ht="12.75">
      <c r="A1008" s="375"/>
      <c r="B1008" s="375"/>
      <c r="C1008" s="375"/>
      <c r="D1008" s="375"/>
      <c r="E1008" s="375"/>
      <c r="F1008" s="375"/>
      <c r="G1008" s="375"/>
      <c r="H1008" s="375"/>
      <c r="I1008" s="375"/>
      <c r="J1008" s="375"/>
      <c r="K1008" s="375"/>
    </row>
    <row r="1009" spans="1:11" ht="12.75">
      <c r="A1009" s="375"/>
      <c r="B1009" s="375"/>
      <c r="C1009" s="375"/>
      <c r="D1009" s="375"/>
      <c r="E1009" s="375"/>
      <c r="F1009" s="375"/>
      <c r="G1009" s="375"/>
      <c r="H1009" s="375"/>
      <c r="I1009" s="375"/>
      <c r="J1009" s="375"/>
      <c r="K1009" s="375"/>
    </row>
    <row r="1010" spans="1:11" ht="12.75">
      <c r="A1010" s="375"/>
      <c r="B1010" s="375"/>
      <c r="C1010" s="375"/>
      <c r="D1010" s="375"/>
      <c r="E1010" s="375"/>
      <c r="F1010" s="375"/>
      <c r="G1010" s="375"/>
      <c r="H1010" s="375"/>
      <c r="I1010" s="375"/>
      <c r="J1010" s="375"/>
      <c r="K1010" s="375"/>
    </row>
    <row r="1011" spans="1:11" ht="12.75">
      <c r="A1011" s="375"/>
      <c r="B1011" s="375"/>
      <c r="C1011" s="375"/>
      <c r="D1011" s="375"/>
      <c r="E1011" s="375"/>
      <c r="F1011" s="375"/>
      <c r="G1011" s="375"/>
      <c r="H1011" s="375"/>
      <c r="I1011" s="375"/>
      <c r="J1011" s="375"/>
      <c r="K1011" s="375"/>
    </row>
    <row r="1012" spans="1:11" ht="12.75">
      <c r="A1012" s="375"/>
      <c r="B1012" s="375"/>
      <c r="C1012" s="375"/>
      <c r="D1012" s="375"/>
      <c r="E1012" s="375"/>
      <c r="F1012" s="375"/>
      <c r="G1012" s="375"/>
      <c r="H1012" s="375"/>
      <c r="I1012" s="375"/>
      <c r="J1012" s="375"/>
      <c r="K1012" s="375"/>
    </row>
    <row r="1013" spans="1:11" ht="12.75">
      <c r="A1013" s="375"/>
      <c r="B1013" s="375"/>
      <c r="C1013" s="375"/>
      <c r="D1013" s="375"/>
      <c r="E1013" s="375"/>
      <c r="F1013" s="375"/>
      <c r="G1013" s="375"/>
      <c r="H1013" s="375"/>
      <c r="I1013" s="375"/>
      <c r="J1013" s="375"/>
      <c r="K1013" s="375"/>
    </row>
    <row r="1014" spans="1:11" ht="12.75">
      <c r="A1014" s="375"/>
      <c r="B1014" s="375"/>
      <c r="C1014" s="375"/>
      <c r="D1014" s="375"/>
      <c r="E1014" s="375"/>
      <c r="F1014" s="375"/>
      <c r="G1014" s="375"/>
      <c r="H1014" s="375"/>
      <c r="I1014" s="375"/>
      <c r="J1014" s="375"/>
      <c r="K1014" s="375"/>
    </row>
    <row r="1015" spans="1:11" ht="12.75">
      <c r="A1015" s="375"/>
      <c r="B1015" s="375"/>
      <c r="C1015" s="375"/>
      <c r="D1015" s="375"/>
      <c r="E1015" s="375"/>
      <c r="F1015" s="375"/>
      <c r="G1015" s="375"/>
      <c r="H1015" s="375"/>
      <c r="I1015" s="375"/>
      <c r="J1015" s="375"/>
      <c r="K1015" s="375"/>
    </row>
    <row r="1016" spans="1:11" ht="12.75">
      <c r="A1016" s="375"/>
      <c r="B1016" s="375"/>
      <c r="C1016" s="375"/>
      <c r="D1016" s="375"/>
      <c r="E1016" s="375"/>
      <c r="F1016" s="375"/>
      <c r="G1016" s="375"/>
      <c r="H1016" s="375"/>
      <c r="I1016" s="375"/>
      <c r="J1016" s="375"/>
      <c r="K1016" s="375"/>
    </row>
    <row r="1017" spans="1:11" ht="12.75">
      <c r="A1017" s="375"/>
      <c r="B1017" s="375"/>
      <c r="C1017" s="375"/>
      <c r="D1017" s="375"/>
      <c r="E1017" s="375"/>
      <c r="F1017" s="375"/>
      <c r="G1017" s="375"/>
      <c r="H1017" s="375"/>
      <c r="I1017" s="375"/>
      <c r="J1017" s="375"/>
      <c r="K1017" s="375"/>
    </row>
    <row r="1018" spans="1:11" ht="12.75">
      <c r="A1018" s="375"/>
      <c r="B1018" s="375"/>
      <c r="C1018" s="375"/>
      <c r="D1018" s="375"/>
      <c r="E1018" s="375"/>
      <c r="F1018" s="375"/>
      <c r="G1018" s="375"/>
      <c r="H1018" s="375"/>
      <c r="I1018" s="375"/>
      <c r="J1018" s="375"/>
      <c r="K1018" s="375"/>
    </row>
    <row r="1019" spans="1:11" ht="12.75">
      <c r="A1019" s="375"/>
      <c r="B1019" s="375"/>
      <c r="C1019" s="375"/>
      <c r="D1019" s="375"/>
      <c r="E1019" s="375"/>
      <c r="F1019" s="375"/>
      <c r="G1019" s="375"/>
      <c r="H1019" s="375"/>
      <c r="I1019" s="375"/>
      <c r="J1019" s="375"/>
      <c r="K1019" s="375"/>
    </row>
    <row r="1020" spans="1:11" ht="12.75">
      <c r="A1020" s="375"/>
      <c r="B1020" s="375"/>
      <c r="C1020" s="375"/>
      <c r="D1020" s="375"/>
      <c r="E1020" s="375"/>
      <c r="F1020" s="375"/>
      <c r="G1020" s="375"/>
      <c r="H1020" s="375"/>
      <c r="I1020" s="375"/>
      <c r="J1020" s="375"/>
      <c r="K1020" s="375"/>
    </row>
    <row r="1021" spans="1:11" ht="12.75">
      <c r="A1021" s="375"/>
      <c r="B1021" s="375"/>
      <c r="C1021" s="375"/>
      <c r="D1021" s="375"/>
      <c r="E1021" s="375"/>
      <c r="F1021" s="375"/>
      <c r="G1021" s="375"/>
      <c r="H1021" s="375"/>
      <c r="I1021" s="375"/>
      <c r="J1021" s="375"/>
      <c r="K1021" s="375"/>
    </row>
    <row r="1022" spans="1:11" ht="12.75">
      <c r="A1022" s="375"/>
      <c r="B1022" s="375"/>
      <c r="C1022" s="375"/>
      <c r="D1022" s="375"/>
      <c r="E1022" s="375"/>
      <c r="F1022" s="375"/>
      <c r="G1022" s="375"/>
      <c r="H1022" s="375"/>
      <c r="I1022" s="375"/>
      <c r="J1022" s="375"/>
      <c r="K1022" s="375"/>
    </row>
    <row r="1023" spans="1:11" ht="12.75">
      <c r="A1023" s="375"/>
      <c r="B1023" s="375"/>
      <c r="C1023" s="375"/>
      <c r="D1023" s="375"/>
      <c r="E1023" s="375"/>
      <c r="F1023" s="375"/>
      <c r="G1023" s="375"/>
      <c r="H1023" s="375"/>
      <c r="I1023" s="375"/>
      <c r="J1023" s="375"/>
      <c r="K1023" s="375"/>
    </row>
    <row r="1024" spans="1:11" ht="12.75">
      <c r="A1024" s="375"/>
      <c r="B1024" s="375"/>
      <c r="C1024" s="375"/>
      <c r="D1024" s="375"/>
      <c r="E1024" s="375"/>
      <c r="F1024" s="375"/>
      <c r="G1024" s="375"/>
      <c r="H1024" s="375"/>
      <c r="I1024" s="375"/>
      <c r="J1024" s="375"/>
      <c r="K1024" s="375"/>
    </row>
    <row r="1025" spans="1:11" ht="12.75">
      <c r="A1025" s="375"/>
      <c r="B1025" s="375"/>
      <c r="C1025" s="375"/>
      <c r="D1025" s="375"/>
      <c r="E1025" s="375"/>
      <c r="F1025" s="375"/>
      <c r="G1025" s="375"/>
      <c r="H1025" s="375"/>
      <c r="I1025" s="375"/>
      <c r="J1025" s="375"/>
      <c r="K1025" s="375"/>
    </row>
    <row r="1026" spans="1:11" ht="12.75">
      <c r="A1026" s="375"/>
      <c r="B1026" s="375"/>
      <c r="C1026" s="375"/>
      <c r="D1026" s="375"/>
      <c r="E1026" s="375"/>
      <c r="F1026" s="375"/>
      <c r="G1026" s="375"/>
      <c r="H1026" s="375"/>
      <c r="I1026" s="375"/>
      <c r="J1026" s="375"/>
      <c r="K1026" s="375"/>
    </row>
    <row r="1027" spans="1:11" ht="12.75">
      <c r="A1027" s="375"/>
      <c r="B1027" s="375"/>
      <c r="C1027" s="375"/>
      <c r="D1027" s="375"/>
      <c r="E1027" s="375"/>
      <c r="F1027" s="375"/>
      <c r="G1027" s="375"/>
      <c r="H1027" s="375"/>
      <c r="I1027" s="375"/>
      <c r="J1027" s="375"/>
      <c r="K1027" s="375"/>
    </row>
    <row r="1028" spans="1:11" ht="12.75">
      <c r="A1028" s="375"/>
      <c r="B1028" s="375"/>
      <c r="C1028" s="375"/>
      <c r="D1028" s="375"/>
      <c r="E1028" s="375"/>
      <c r="F1028" s="375"/>
      <c r="G1028" s="375"/>
      <c r="H1028" s="375"/>
      <c r="I1028" s="375"/>
      <c r="J1028" s="375"/>
      <c r="K1028" s="375"/>
    </row>
    <row r="1029" spans="1:11" ht="12.75">
      <c r="A1029" s="375"/>
      <c r="B1029" s="375"/>
      <c r="C1029" s="375"/>
      <c r="D1029" s="375"/>
      <c r="E1029" s="375"/>
      <c r="F1029" s="375"/>
      <c r="G1029" s="375"/>
      <c r="H1029" s="375"/>
      <c r="I1029" s="375"/>
      <c r="J1029" s="375"/>
      <c r="K1029" s="375"/>
    </row>
    <row r="1030" spans="1:11" ht="12.75">
      <c r="A1030" s="375"/>
      <c r="B1030" s="375"/>
      <c r="C1030" s="375"/>
      <c r="D1030" s="375"/>
      <c r="E1030" s="375"/>
      <c r="F1030" s="375"/>
      <c r="G1030" s="375"/>
      <c r="H1030" s="375"/>
      <c r="I1030" s="375"/>
      <c r="J1030" s="375"/>
      <c r="K1030" s="375"/>
    </row>
    <row r="1031" spans="1:11" ht="12.75">
      <c r="A1031" s="375"/>
      <c r="B1031" s="375"/>
      <c r="C1031" s="375"/>
      <c r="D1031" s="375"/>
      <c r="E1031" s="375"/>
      <c r="F1031" s="375"/>
      <c r="G1031" s="375"/>
      <c r="H1031" s="375"/>
      <c r="I1031" s="375"/>
      <c r="J1031" s="375"/>
      <c r="K1031" s="375"/>
    </row>
    <row r="1032" spans="1:11" ht="12.75">
      <c r="A1032" s="375"/>
      <c r="B1032" s="375"/>
      <c r="C1032" s="375"/>
      <c r="D1032" s="375"/>
      <c r="E1032" s="375"/>
      <c r="F1032" s="375"/>
      <c r="G1032" s="375"/>
      <c r="H1032" s="375"/>
      <c r="I1032" s="375"/>
      <c r="J1032" s="375"/>
      <c r="K1032" s="375"/>
    </row>
    <row r="1033" spans="1:11" ht="12.75">
      <c r="A1033" s="375"/>
      <c r="B1033" s="375"/>
      <c r="C1033" s="375"/>
      <c r="D1033" s="375"/>
      <c r="E1033" s="375"/>
      <c r="F1033" s="375"/>
      <c r="G1033" s="375"/>
      <c r="H1033" s="375"/>
      <c r="I1033" s="375"/>
      <c r="J1033" s="375"/>
      <c r="K1033" s="375"/>
    </row>
    <row r="1034" spans="1:11" ht="12.75">
      <c r="A1034" s="375"/>
      <c r="B1034" s="375"/>
      <c r="C1034" s="375"/>
      <c r="D1034" s="375"/>
      <c r="E1034" s="375"/>
      <c r="F1034" s="375"/>
      <c r="G1034" s="375"/>
      <c r="H1034" s="375"/>
      <c r="I1034" s="375"/>
      <c r="J1034" s="375"/>
      <c r="K1034" s="375"/>
    </row>
    <row r="1035" spans="1:11" ht="12.75">
      <c r="A1035" s="375"/>
      <c r="B1035" s="375"/>
      <c r="C1035" s="375"/>
      <c r="D1035" s="375"/>
      <c r="E1035" s="375"/>
      <c r="F1035" s="375"/>
      <c r="G1035" s="375"/>
      <c r="H1035" s="375"/>
      <c r="I1035" s="375"/>
      <c r="J1035" s="375"/>
      <c r="K1035" s="375"/>
    </row>
    <row r="1036" spans="1:11" ht="12.75">
      <c r="A1036" s="375"/>
      <c r="B1036" s="375"/>
      <c r="C1036" s="375"/>
      <c r="D1036" s="375"/>
      <c r="E1036" s="375"/>
      <c r="F1036" s="375"/>
      <c r="G1036" s="375"/>
      <c r="H1036" s="375"/>
      <c r="I1036" s="375"/>
      <c r="J1036" s="375"/>
      <c r="K1036" s="375"/>
    </row>
    <row r="1037" spans="1:11" ht="12.75">
      <c r="A1037" s="375"/>
      <c r="B1037" s="375"/>
      <c r="C1037" s="375"/>
      <c r="D1037" s="375"/>
      <c r="E1037" s="375"/>
      <c r="F1037" s="375"/>
      <c r="G1037" s="375"/>
      <c r="H1037" s="375"/>
      <c r="I1037" s="375"/>
      <c r="J1037" s="375"/>
      <c r="K1037" s="375"/>
    </row>
    <row r="1038" spans="1:11" ht="12.75">
      <c r="A1038" s="375"/>
      <c r="B1038" s="375"/>
      <c r="C1038" s="375"/>
      <c r="D1038" s="375"/>
      <c r="E1038" s="375"/>
      <c r="F1038" s="375"/>
      <c r="G1038" s="375"/>
      <c r="H1038" s="375"/>
      <c r="I1038" s="375"/>
      <c r="J1038" s="375"/>
      <c r="K1038" s="375"/>
    </row>
    <row r="1039" spans="1:11" ht="12.75">
      <c r="A1039" s="375"/>
      <c r="B1039" s="375"/>
      <c r="C1039" s="375"/>
      <c r="D1039" s="375"/>
      <c r="E1039" s="375"/>
      <c r="F1039" s="375"/>
      <c r="G1039" s="375"/>
      <c r="H1039" s="375"/>
      <c r="I1039" s="375"/>
      <c r="J1039" s="375"/>
      <c r="K1039" s="375"/>
    </row>
    <row r="1040" spans="1:11" ht="12.75">
      <c r="A1040" s="375"/>
      <c r="B1040" s="375"/>
      <c r="C1040" s="375"/>
      <c r="D1040" s="375"/>
      <c r="E1040" s="375"/>
      <c r="F1040" s="375"/>
      <c r="G1040" s="375"/>
      <c r="H1040" s="375"/>
      <c r="I1040" s="375"/>
      <c r="J1040" s="375"/>
      <c r="K1040" s="375"/>
    </row>
    <row r="1041" spans="1:11" ht="12.75">
      <c r="A1041" s="375"/>
      <c r="B1041" s="375"/>
      <c r="C1041" s="375"/>
      <c r="D1041" s="375"/>
      <c r="E1041" s="375"/>
      <c r="F1041" s="375"/>
      <c r="G1041" s="375"/>
      <c r="H1041" s="375"/>
      <c r="I1041" s="375"/>
      <c r="J1041" s="375"/>
      <c r="K1041" s="375"/>
    </row>
    <row r="1042" spans="1:11" ht="12.75">
      <c r="A1042" s="375"/>
      <c r="B1042" s="375"/>
      <c r="C1042" s="375"/>
      <c r="D1042" s="375"/>
      <c r="E1042" s="375"/>
      <c r="F1042" s="375"/>
      <c r="G1042" s="375"/>
      <c r="H1042" s="375"/>
      <c r="I1042" s="375"/>
      <c r="J1042" s="375"/>
      <c r="K1042" s="375"/>
    </row>
    <row r="1043" spans="1:11" ht="12.75">
      <c r="A1043" s="375"/>
      <c r="B1043" s="375"/>
      <c r="C1043" s="375"/>
      <c r="D1043" s="375"/>
      <c r="E1043" s="375"/>
      <c r="F1043" s="375"/>
      <c r="G1043" s="375"/>
      <c r="H1043" s="375"/>
      <c r="I1043" s="375"/>
      <c r="J1043" s="375"/>
      <c r="K1043" s="375"/>
    </row>
    <row r="1044" spans="1:11" ht="12.75">
      <c r="A1044" s="375"/>
      <c r="B1044" s="375"/>
      <c r="C1044" s="375"/>
      <c r="D1044" s="375"/>
      <c r="E1044" s="375"/>
      <c r="F1044" s="375"/>
      <c r="G1044" s="375"/>
      <c r="H1044" s="375"/>
      <c r="I1044" s="375"/>
      <c r="J1044" s="375"/>
      <c r="K1044" s="375"/>
    </row>
    <row r="1045" spans="1:11" ht="12.75">
      <c r="A1045" s="375"/>
      <c r="B1045" s="375"/>
      <c r="C1045" s="375"/>
      <c r="D1045" s="375"/>
      <c r="E1045" s="375"/>
      <c r="F1045" s="375"/>
      <c r="G1045" s="375"/>
      <c r="H1045" s="375"/>
      <c r="I1045" s="375"/>
      <c r="J1045" s="375"/>
      <c r="K1045" s="375"/>
    </row>
    <row r="1046" spans="1:11" ht="12.75">
      <c r="A1046" s="375"/>
      <c r="B1046" s="375"/>
      <c r="C1046" s="375"/>
      <c r="D1046" s="375"/>
      <c r="E1046" s="375"/>
      <c r="F1046" s="375"/>
      <c r="G1046" s="375"/>
      <c r="H1046" s="375"/>
      <c r="I1046" s="375"/>
      <c r="J1046" s="375"/>
      <c r="K1046" s="375"/>
    </row>
    <row r="1047" spans="1:11" ht="12.75">
      <c r="A1047" s="375"/>
      <c r="B1047" s="375"/>
      <c r="C1047" s="375"/>
      <c r="D1047" s="375"/>
      <c r="E1047" s="375"/>
      <c r="F1047" s="375"/>
      <c r="G1047" s="375"/>
      <c r="H1047" s="375"/>
      <c r="I1047" s="375"/>
      <c r="J1047" s="375"/>
      <c r="K1047" s="375"/>
    </row>
    <row r="1048" spans="1:11" ht="12.75">
      <c r="A1048" s="375"/>
      <c r="B1048" s="375"/>
      <c r="C1048" s="375"/>
      <c r="D1048" s="375"/>
      <c r="E1048" s="375"/>
      <c r="F1048" s="375"/>
      <c r="G1048" s="375"/>
      <c r="H1048" s="375"/>
      <c r="I1048" s="375"/>
      <c r="J1048" s="375"/>
      <c r="K1048" s="375"/>
    </row>
    <row r="1049" spans="1:11" ht="12.75">
      <c r="A1049" s="375"/>
      <c r="B1049" s="375"/>
      <c r="C1049" s="375"/>
      <c r="D1049" s="375"/>
      <c r="E1049" s="375"/>
      <c r="F1049" s="375"/>
      <c r="G1049" s="375"/>
      <c r="H1049" s="375"/>
      <c r="I1049" s="375"/>
      <c r="J1049" s="375"/>
      <c r="K1049" s="375"/>
    </row>
    <row r="1050" spans="1:11" ht="12.75">
      <c r="A1050" s="375"/>
      <c r="B1050" s="375"/>
      <c r="C1050" s="375"/>
      <c r="D1050" s="375"/>
      <c r="E1050" s="375"/>
      <c r="F1050" s="375"/>
      <c r="G1050" s="375"/>
      <c r="H1050" s="375"/>
      <c r="I1050" s="375"/>
      <c r="J1050" s="375"/>
      <c r="K1050" s="375"/>
    </row>
    <row r="1051" spans="1:11" ht="12.75">
      <c r="A1051" s="375"/>
      <c r="B1051" s="375"/>
      <c r="C1051" s="375"/>
      <c r="D1051" s="375"/>
      <c r="E1051" s="375"/>
      <c r="F1051" s="375"/>
      <c r="G1051" s="375"/>
      <c r="H1051" s="375"/>
      <c r="I1051" s="375"/>
      <c r="J1051" s="375"/>
      <c r="K1051" s="375"/>
    </row>
    <row r="1052" spans="1:11" ht="12.75">
      <c r="A1052" s="375"/>
      <c r="B1052" s="375"/>
      <c r="C1052" s="375"/>
      <c r="D1052" s="375"/>
      <c r="E1052" s="375"/>
      <c r="F1052" s="375"/>
      <c r="G1052" s="375"/>
      <c r="H1052" s="375"/>
      <c r="I1052" s="375"/>
      <c r="J1052" s="375"/>
      <c r="K1052" s="375"/>
    </row>
    <row r="1053" spans="1:11" ht="12.75">
      <c r="A1053" s="375"/>
      <c r="B1053" s="375"/>
      <c r="C1053" s="375"/>
      <c r="D1053" s="375"/>
      <c r="E1053" s="375"/>
      <c r="F1053" s="375"/>
      <c r="G1053" s="375"/>
      <c r="H1053" s="375"/>
      <c r="I1053" s="375"/>
      <c r="J1053" s="375"/>
      <c r="K1053" s="375"/>
    </row>
    <row r="1054" spans="1:11" ht="12.75">
      <c r="A1054" s="375"/>
      <c r="B1054" s="375"/>
      <c r="C1054" s="375"/>
      <c r="D1054" s="375"/>
      <c r="E1054" s="375"/>
      <c r="F1054" s="375"/>
      <c r="G1054" s="375"/>
      <c r="H1054" s="375"/>
      <c r="I1054" s="375"/>
      <c r="J1054" s="375"/>
      <c r="K1054" s="375"/>
    </row>
    <row r="1055" spans="1:11" ht="12.75">
      <c r="A1055" s="375"/>
      <c r="B1055" s="375"/>
      <c r="C1055" s="375"/>
      <c r="D1055" s="375"/>
      <c r="E1055" s="375"/>
      <c r="F1055" s="375"/>
      <c r="G1055" s="375"/>
      <c r="H1055" s="375"/>
      <c r="I1055" s="375"/>
      <c r="J1055" s="375"/>
      <c r="K1055" s="375"/>
    </row>
    <row r="1056" spans="1:11" ht="12.75">
      <c r="A1056" s="375"/>
      <c r="B1056" s="375"/>
      <c r="C1056" s="375"/>
      <c r="D1056" s="375"/>
      <c r="E1056" s="375"/>
      <c r="F1056" s="375"/>
      <c r="G1056" s="375"/>
      <c r="H1056" s="375"/>
      <c r="I1056" s="375"/>
      <c r="J1056" s="375"/>
      <c r="K1056" s="375"/>
    </row>
    <row r="1057" spans="1:11" ht="12.75">
      <c r="A1057" s="375"/>
      <c r="B1057" s="375"/>
      <c r="C1057" s="375"/>
      <c r="D1057" s="375"/>
      <c r="E1057" s="375"/>
      <c r="F1057" s="375"/>
      <c r="G1057" s="375"/>
      <c r="H1057" s="375"/>
      <c r="I1057" s="375"/>
      <c r="J1057" s="375"/>
      <c r="K1057" s="375"/>
    </row>
    <row r="1058" spans="1:11" ht="12.75">
      <c r="A1058" s="375"/>
      <c r="B1058" s="375"/>
      <c r="C1058" s="375"/>
      <c r="D1058" s="375"/>
      <c r="E1058" s="375"/>
      <c r="F1058" s="375"/>
      <c r="G1058" s="375"/>
      <c r="H1058" s="375"/>
      <c r="I1058" s="375"/>
      <c r="J1058" s="375"/>
      <c r="K1058" s="375"/>
    </row>
    <row r="1059" spans="1:11" ht="12.75">
      <c r="A1059" s="375"/>
      <c r="B1059" s="375"/>
      <c r="C1059" s="375"/>
      <c r="D1059" s="375"/>
      <c r="E1059" s="375"/>
      <c r="F1059" s="375"/>
      <c r="G1059" s="375"/>
      <c r="H1059" s="375"/>
      <c r="I1059" s="375"/>
      <c r="J1059" s="375"/>
      <c r="K1059" s="375"/>
    </row>
    <row r="1060" spans="1:11" ht="12.75">
      <c r="A1060" s="375"/>
      <c r="B1060" s="375"/>
      <c r="C1060" s="375"/>
      <c r="D1060" s="375"/>
      <c r="E1060" s="375"/>
      <c r="F1060" s="375"/>
      <c r="G1060" s="375"/>
      <c r="H1060" s="375"/>
      <c r="I1060" s="375"/>
      <c r="J1060" s="375"/>
      <c r="K1060" s="375"/>
    </row>
    <row r="1061" spans="1:11" ht="12.75">
      <c r="A1061" s="375"/>
      <c r="B1061" s="375"/>
      <c r="C1061" s="375"/>
      <c r="D1061" s="375"/>
      <c r="E1061" s="375"/>
      <c r="F1061" s="375"/>
      <c r="G1061" s="375"/>
      <c r="H1061" s="375"/>
      <c r="I1061" s="375"/>
      <c r="J1061" s="375"/>
      <c r="K1061" s="375"/>
    </row>
    <row r="1062" spans="1:11" ht="12.75">
      <c r="A1062" s="375"/>
      <c r="B1062" s="375"/>
      <c r="C1062" s="375"/>
      <c r="D1062" s="375"/>
      <c r="E1062" s="375"/>
      <c r="F1062" s="375"/>
      <c r="G1062" s="375"/>
      <c r="H1062" s="375"/>
      <c r="I1062" s="375"/>
      <c r="J1062" s="375"/>
      <c r="K1062" s="375"/>
    </row>
    <row r="1063" spans="1:11" ht="12.75">
      <c r="A1063" s="375"/>
      <c r="B1063" s="375"/>
      <c r="C1063" s="375"/>
      <c r="D1063" s="375"/>
      <c r="E1063" s="375"/>
      <c r="F1063" s="375"/>
      <c r="G1063" s="375"/>
      <c r="H1063" s="375"/>
      <c r="I1063" s="375"/>
      <c r="J1063" s="375"/>
      <c r="K1063" s="375"/>
    </row>
    <row r="1064" spans="1:11" ht="12.75">
      <c r="A1064" s="375"/>
      <c r="B1064" s="375"/>
      <c r="C1064" s="375"/>
      <c r="D1064" s="375"/>
      <c r="E1064" s="375"/>
      <c r="F1064" s="375"/>
      <c r="G1064" s="375"/>
      <c r="H1064" s="375"/>
      <c r="I1064" s="375"/>
      <c r="J1064" s="375"/>
      <c r="K1064" s="375"/>
    </row>
    <row r="1065" spans="1:11" ht="12.75">
      <c r="A1065" s="375"/>
      <c r="B1065" s="375"/>
      <c r="C1065" s="375"/>
      <c r="D1065" s="375"/>
      <c r="E1065" s="375"/>
      <c r="F1065" s="375"/>
      <c r="G1065" s="375"/>
      <c r="H1065" s="375"/>
      <c r="I1065" s="375"/>
      <c r="J1065" s="375"/>
      <c r="K1065" s="375"/>
    </row>
    <row r="1066" spans="1:11" ht="12.75">
      <c r="A1066" s="375"/>
      <c r="B1066" s="375"/>
      <c r="C1066" s="375"/>
      <c r="D1066" s="375"/>
      <c r="E1066" s="375"/>
      <c r="F1066" s="375"/>
      <c r="G1066" s="375"/>
      <c r="H1066" s="375"/>
      <c r="I1066" s="375"/>
      <c r="J1066" s="375"/>
      <c r="K1066" s="375"/>
    </row>
    <row r="1067" spans="1:11" ht="12.75">
      <c r="A1067" s="375"/>
      <c r="B1067" s="375"/>
      <c r="C1067" s="375"/>
      <c r="D1067" s="375"/>
      <c r="E1067" s="375"/>
      <c r="F1067" s="375"/>
      <c r="G1067" s="375"/>
      <c r="H1067" s="375"/>
      <c r="I1067" s="375"/>
      <c r="J1067" s="375"/>
      <c r="K1067" s="375"/>
    </row>
    <row r="1068" spans="1:11" ht="12.75">
      <c r="A1068" s="375"/>
      <c r="B1068" s="375"/>
      <c r="C1068" s="375"/>
      <c r="D1068" s="375"/>
      <c r="E1068" s="375"/>
      <c r="F1068" s="375"/>
      <c r="G1068" s="375"/>
      <c r="H1068" s="375"/>
      <c r="I1068" s="375"/>
      <c r="J1068" s="375"/>
      <c r="K1068" s="375"/>
    </row>
    <row r="1069" spans="1:11" ht="12.75">
      <c r="A1069" s="375"/>
      <c r="B1069" s="375"/>
      <c r="C1069" s="375"/>
      <c r="D1069" s="375"/>
      <c r="E1069" s="375"/>
      <c r="F1069" s="375"/>
      <c r="G1069" s="375"/>
      <c r="H1069" s="375"/>
      <c r="I1069" s="375"/>
      <c r="J1069" s="375"/>
      <c r="K1069" s="375"/>
    </row>
    <row r="1070" spans="1:11" ht="12.75">
      <c r="A1070" s="375"/>
      <c r="B1070" s="375"/>
      <c r="C1070" s="375"/>
      <c r="D1070" s="375"/>
      <c r="E1070" s="375"/>
      <c r="F1070" s="375"/>
      <c r="G1070" s="375"/>
      <c r="H1070" s="375"/>
      <c r="I1070" s="375"/>
      <c r="J1070" s="375"/>
      <c r="K1070" s="375"/>
    </row>
    <row r="1071" spans="1:11" ht="12.75">
      <c r="A1071" s="375"/>
      <c r="B1071" s="375"/>
      <c r="C1071" s="375"/>
      <c r="D1071" s="375"/>
      <c r="E1071" s="375"/>
      <c r="F1071" s="375"/>
      <c r="G1071" s="375"/>
      <c r="H1071" s="375"/>
      <c r="I1071" s="375"/>
      <c r="J1071" s="375"/>
      <c r="K1071" s="375"/>
    </row>
    <row r="1072" spans="1:11" ht="12.75">
      <c r="A1072" s="375"/>
      <c r="B1072" s="375"/>
      <c r="C1072" s="375"/>
      <c r="D1072" s="375"/>
      <c r="E1072" s="375"/>
      <c r="F1072" s="375"/>
      <c r="G1072" s="375"/>
      <c r="H1072" s="375"/>
      <c r="I1072" s="375"/>
      <c r="J1072" s="375"/>
      <c r="K1072" s="375"/>
    </row>
    <row r="1073" spans="1:11" ht="12.75">
      <c r="A1073" s="375"/>
      <c r="B1073" s="375"/>
      <c r="C1073" s="375"/>
      <c r="D1073" s="375"/>
      <c r="E1073" s="375"/>
      <c r="F1073" s="375"/>
      <c r="G1073" s="375"/>
      <c r="H1073" s="375"/>
      <c r="I1073" s="375"/>
      <c r="J1073" s="375"/>
      <c r="K1073" s="375"/>
    </row>
    <row r="1074" spans="1:11" ht="12.75">
      <c r="A1074" s="375"/>
      <c r="B1074" s="375"/>
      <c r="C1074" s="375"/>
      <c r="D1074" s="375"/>
      <c r="E1074" s="375"/>
      <c r="F1074" s="375"/>
      <c r="G1074" s="375"/>
      <c r="H1074" s="375"/>
      <c r="I1074" s="375"/>
      <c r="J1074" s="375"/>
      <c r="K1074" s="375"/>
    </row>
    <row r="1075" spans="1:11" ht="12.75">
      <c r="A1075" s="375"/>
      <c r="B1075" s="375"/>
      <c r="C1075" s="375"/>
      <c r="D1075" s="375"/>
      <c r="E1075" s="375"/>
      <c r="F1075" s="375"/>
      <c r="G1075" s="375"/>
      <c r="H1075" s="375"/>
      <c r="I1075" s="375"/>
      <c r="J1075" s="375"/>
      <c r="K1075" s="375"/>
    </row>
    <row r="1076" spans="1:11" ht="12.75">
      <c r="A1076" s="375"/>
      <c r="B1076" s="375"/>
      <c r="C1076" s="375"/>
      <c r="D1076" s="375"/>
      <c r="E1076" s="375"/>
      <c r="F1076" s="375"/>
      <c r="G1076" s="375"/>
      <c r="H1076" s="375"/>
      <c r="I1076" s="375"/>
      <c r="J1076" s="375"/>
      <c r="K1076" s="375"/>
    </row>
    <row r="1077" spans="1:11" ht="12.75">
      <c r="A1077" s="375"/>
      <c r="B1077" s="375"/>
      <c r="C1077" s="375"/>
      <c r="D1077" s="375"/>
      <c r="E1077" s="375"/>
      <c r="F1077" s="375"/>
      <c r="G1077" s="375"/>
      <c r="H1077" s="375"/>
      <c r="I1077" s="375"/>
      <c r="J1077" s="375"/>
      <c r="K1077" s="375"/>
    </row>
    <row r="1078" spans="1:11" ht="12.75">
      <c r="A1078" s="375"/>
      <c r="B1078" s="375"/>
      <c r="C1078" s="375"/>
      <c r="D1078" s="375"/>
      <c r="E1078" s="375"/>
      <c r="F1078" s="375"/>
      <c r="G1078" s="375"/>
      <c r="H1078" s="375"/>
      <c r="I1078" s="375"/>
      <c r="J1078" s="375"/>
      <c r="K1078" s="375"/>
    </row>
    <row r="1079" spans="1:11" ht="12.75">
      <c r="A1079" s="375"/>
      <c r="B1079" s="375"/>
      <c r="C1079" s="375"/>
      <c r="D1079" s="375"/>
      <c r="E1079" s="375"/>
      <c r="F1079" s="375"/>
      <c r="G1079" s="375"/>
      <c r="H1079" s="375"/>
      <c r="I1079" s="375"/>
      <c r="J1079" s="375"/>
      <c r="K1079" s="375"/>
    </row>
    <row r="1080" spans="1:11" ht="12.75">
      <c r="A1080" s="375"/>
      <c r="B1080" s="375"/>
      <c r="C1080" s="375"/>
      <c r="D1080" s="375"/>
      <c r="E1080" s="375"/>
      <c r="F1080" s="375"/>
      <c r="G1080" s="375"/>
      <c r="H1080" s="375"/>
      <c r="I1080" s="375"/>
      <c r="J1080" s="375"/>
      <c r="K1080" s="375"/>
    </row>
    <row r="1081" spans="1:11" ht="12.75">
      <c r="A1081" s="375"/>
      <c r="B1081" s="375"/>
      <c r="C1081" s="375"/>
      <c r="D1081" s="375"/>
      <c r="E1081" s="375"/>
      <c r="F1081" s="375"/>
      <c r="G1081" s="375"/>
      <c r="H1081" s="375"/>
      <c r="I1081" s="375"/>
      <c r="J1081" s="375"/>
      <c r="K1081" s="375"/>
    </row>
    <row r="1082" spans="1:11" ht="12.75">
      <c r="A1082" s="375"/>
      <c r="B1082" s="375"/>
      <c r="C1082" s="375"/>
      <c r="D1082" s="375"/>
      <c r="E1082" s="375"/>
      <c r="F1082" s="375"/>
      <c r="G1082" s="375"/>
      <c r="H1082" s="375"/>
      <c r="I1082" s="375"/>
      <c r="J1082" s="375"/>
      <c r="K1082" s="375"/>
    </row>
    <row r="1083" spans="1:11" ht="12.75">
      <c r="A1083" s="375"/>
      <c r="B1083" s="375"/>
      <c r="C1083" s="375"/>
      <c r="D1083" s="375"/>
      <c r="E1083" s="375"/>
      <c r="F1083" s="375"/>
      <c r="G1083" s="375"/>
      <c r="H1083" s="375"/>
      <c r="I1083" s="375"/>
      <c r="J1083" s="375"/>
      <c r="K1083" s="375"/>
    </row>
    <row r="1084" spans="1:11" ht="12.75">
      <c r="A1084" s="375"/>
      <c r="B1084" s="375"/>
      <c r="C1084" s="375"/>
      <c r="D1084" s="375"/>
      <c r="E1084" s="375"/>
      <c r="F1084" s="375"/>
      <c r="G1084" s="375"/>
      <c r="H1084" s="375"/>
      <c r="I1084" s="375"/>
      <c r="J1084" s="375"/>
      <c r="K1084" s="375"/>
    </row>
    <row r="1085" spans="1:11" ht="12.75">
      <c r="A1085" s="375"/>
      <c r="B1085" s="375"/>
      <c r="C1085" s="375"/>
      <c r="D1085" s="375"/>
      <c r="E1085" s="375"/>
      <c r="F1085" s="375"/>
      <c r="G1085" s="375"/>
      <c r="H1085" s="375"/>
      <c r="I1085" s="375"/>
      <c r="J1085" s="375"/>
      <c r="K1085" s="375"/>
    </row>
    <row r="1086" spans="1:11" ht="12.75">
      <c r="A1086" s="375"/>
      <c r="B1086" s="375"/>
      <c r="C1086" s="375"/>
      <c r="D1086" s="375"/>
      <c r="E1086" s="375"/>
      <c r="F1086" s="375"/>
      <c r="G1086" s="375"/>
      <c r="H1086" s="375"/>
      <c r="I1086" s="375"/>
      <c r="J1086" s="375"/>
      <c r="K1086" s="375"/>
    </row>
    <row r="1087" spans="1:11" ht="12.75">
      <c r="A1087" s="375"/>
      <c r="B1087" s="375"/>
      <c r="C1087" s="375"/>
      <c r="D1087" s="375"/>
      <c r="E1087" s="375"/>
      <c r="F1087" s="375"/>
      <c r="G1087" s="375"/>
      <c r="H1087" s="375"/>
      <c r="I1087" s="375"/>
      <c r="J1087" s="375"/>
      <c r="K1087" s="375"/>
    </row>
    <row r="1088" spans="1:11" ht="12.75">
      <c r="A1088" s="375"/>
      <c r="B1088" s="375"/>
      <c r="C1088" s="375"/>
      <c r="D1088" s="375"/>
      <c r="E1088" s="375"/>
      <c r="F1088" s="375"/>
      <c r="G1088" s="375"/>
      <c r="H1088" s="375"/>
      <c r="I1088" s="375"/>
      <c r="J1088" s="375"/>
      <c r="K1088" s="375"/>
    </row>
    <row r="1089" spans="1:11" ht="12.75">
      <c r="A1089" s="375"/>
      <c r="B1089" s="375"/>
      <c r="C1089" s="375"/>
      <c r="D1089" s="375"/>
      <c r="E1089" s="375"/>
      <c r="F1089" s="375"/>
      <c r="G1089" s="375"/>
      <c r="H1089" s="375"/>
      <c r="I1089" s="375"/>
      <c r="J1089" s="375"/>
      <c r="K1089" s="375"/>
    </row>
    <row r="1090" spans="1:11" ht="12.75">
      <c r="A1090" s="375"/>
      <c r="B1090" s="375"/>
      <c r="C1090" s="375"/>
      <c r="D1090" s="375"/>
      <c r="E1090" s="375"/>
      <c r="F1090" s="375"/>
      <c r="G1090" s="375"/>
      <c r="H1090" s="375"/>
      <c r="I1090" s="375"/>
      <c r="J1090" s="375"/>
      <c r="K1090" s="375"/>
    </row>
    <row r="1091" spans="1:11" ht="12.75">
      <c r="A1091" s="375"/>
      <c r="B1091" s="375"/>
      <c r="C1091" s="375"/>
      <c r="D1091" s="375"/>
      <c r="E1091" s="375"/>
      <c r="F1091" s="375"/>
      <c r="G1091" s="375"/>
      <c r="H1091" s="375"/>
      <c r="I1091" s="375"/>
      <c r="J1091" s="375"/>
      <c r="K1091" s="375"/>
    </row>
    <row r="1092" spans="1:11" ht="12.75">
      <c r="A1092" s="375"/>
      <c r="B1092" s="375"/>
      <c r="C1092" s="375"/>
      <c r="D1092" s="375"/>
      <c r="E1092" s="375"/>
      <c r="F1092" s="375"/>
      <c r="G1092" s="375"/>
      <c r="H1092" s="375"/>
      <c r="I1092" s="375"/>
      <c r="J1092" s="375"/>
      <c r="K1092" s="375"/>
    </row>
    <row r="1093" spans="1:11" ht="12.75">
      <c r="A1093" s="375"/>
      <c r="B1093" s="375"/>
      <c r="C1093" s="375"/>
      <c r="D1093" s="375"/>
      <c r="E1093" s="375"/>
      <c r="F1093" s="375"/>
      <c r="G1093" s="375"/>
      <c r="H1093" s="375"/>
      <c r="I1093" s="375"/>
      <c r="J1093" s="375"/>
      <c r="K1093" s="375"/>
    </row>
    <row r="1094" spans="1:11" ht="12.75">
      <c r="A1094" s="375"/>
      <c r="B1094" s="375"/>
      <c r="C1094" s="375"/>
      <c r="D1094" s="375"/>
      <c r="E1094" s="375"/>
      <c r="F1094" s="375"/>
      <c r="G1094" s="375"/>
      <c r="H1094" s="375"/>
      <c r="I1094" s="375"/>
      <c r="J1094" s="375"/>
      <c r="K1094" s="375"/>
    </row>
    <row r="1095" spans="1:11" ht="12.75">
      <c r="A1095" s="375"/>
      <c r="B1095" s="375"/>
      <c r="C1095" s="375"/>
      <c r="D1095" s="375"/>
      <c r="E1095" s="375"/>
      <c r="F1095" s="375"/>
      <c r="G1095" s="375"/>
      <c r="H1095" s="375"/>
      <c r="I1095" s="375"/>
      <c r="J1095" s="375"/>
      <c r="K1095" s="375"/>
    </row>
    <row r="1096" spans="1:11" ht="12.75">
      <c r="A1096" s="375"/>
      <c r="B1096" s="375"/>
      <c r="C1096" s="375"/>
      <c r="D1096" s="375"/>
      <c r="E1096" s="375"/>
      <c r="F1096" s="375"/>
      <c r="G1096" s="375"/>
      <c r="H1096" s="375"/>
      <c r="I1096" s="375"/>
      <c r="J1096" s="375"/>
      <c r="K1096" s="375"/>
    </row>
    <row r="1097" spans="1:11" ht="12.75">
      <c r="A1097" s="375"/>
      <c r="B1097" s="375"/>
      <c r="C1097" s="375"/>
      <c r="D1097" s="375"/>
      <c r="E1097" s="375"/>
      <c r="F1097" s="375"/>
      <c r="G1097" s="375"/>
      <c r="H1097" s="375"/>
      <c r="I1097" s="375"/>
      <c r="J1097" s="375"/>
      <c r="K1097" s="375"/>
    </row>
    <row r="1098" spans="1:11" ht="12.75">
      <c r="A1098" s="375"/>
      <c r="B1098" s="375"/>
      <c r="C1098" s="375"/>
      <c r="D1098" s="375"/>
      <c r="E1098" s="375"/>
      <c r="F1098" s="375"/>
      <c r="G1098" s="375"/>
      <c r="H1098" s="375"/>
      <c r="I1098" s="375"/>
      <c r="J1098" s="375"/>
      <c r="K1098" s="375"/>
    </row>
    <row r="1099" spans="1:11" ht="12.75">
      <c r="A1099" s="375"/>
      <c r="B1099" s="375"/>
      <c r="C1099" s="375"/>
      <c r="D1099" s="375"/>
      <c r="E1099" s="375"/>
      <c r="F1099" s="375"/>
      <c r="G1099" s="375"/>
      <c r="H1099" s="375"/>
      <c r="I1099" s="375"/>
      <c r="J1099" s="375"/>
      <c r="K1099" s="375"/>
    </row>
    <row r="1100" spans="1:11" ht="12.75">
      <c r="A1100" s="375"/>
      <c r="B1100" s="375"/>
      <c r="C1100" s="375"/>
      <c r="D1100" s="375"/>
      <c r="E1100" s="375"/>
      <c r="F1100" s="375"/>
      <c r="G1100" s="375"/>
      <c r="H1100" s="375"/>
      <c r="I1100" s="375"/>
      <c r="J1100" s="375"/>
      <c r="K1100" s="375"/>
    </row>
    <row r="1101" spans="1:11" ht="12.75">
      <c r="A1101" s="375"/>
      <c r="B1101" s="375"/>
      <c r="C1101" s="375"/>
      <c r="D1101" s="375"/>
      <c r="E1101" s="375"/>
      <c r="F1101" s="375"/>
      <c r="G1101" s="375"/>
      <c r="H1101" s="375"/>
      <c r="I1101" s="375"/>
      <c r="J1101" s="375"/>
      <c r="K1101" s="375"/>
    </row>
    <row r="1102" spans="1:11" ht="12.75">
      <c r="A1102" s="375"/>
      <c r="B1102" s="375"/>
      <c r="C1102" s="375"/>
      <c r="D1102" s="375"/>
      <c r="E1102" s="375"/>
      <c r="F1102" s="375"/>
      <c r="G1102" s="375"/>
      <c r="H1102" s="375"/>
      <c r="I1102" s="375"/>
      <c r="J1102" s="375"/>
      <c r="K1102" s="375"/>
    </row>
    <row r="1103" spans="1:11" ht="12.75">
      <c r="A1103" s="375"/>
      <c r="B1103" s="375"/>
      <c r="C1103" s="375"/>
      <c r="D1103" s="375"/>
      <c r="E1103" s="375"/>
      <c r="F1103" s="375"/>
      <c r="G1103" s="375"/>
      <c r="H1103" s="375"/>
      <c r="I1103" s="375"/>
      <c r="J1103" s="375"/>
      <c r="K1103" s="375"/>
    </row>
    <row r="1104" spans="1:11" ht="12.75">
      <c r="A1104" s="375"/>
      <c r="B1104" s="375"/>
      <c r="C1104" s="375"/>
      <c r="D1104" s="375"/>
      <c r="E1104" s="375"/>
      <c r="F1104" s="375"/>
      <c r="G1104" s="375"/>
      <c r="H1104" s="375"/>
      <c r="I1104" s="375"/>
      <c r="J1104" s="375"/>
      <c r="K1104" s="375"/>
    </row>
    <row r="1105" spans="1:11" ht="12.75">
      <c r="A1105" s="375"/>
      <c r="B1105" s="375"/>
      <c r="C1105" s="375"/>
      <c r="D1105" s="375"/>
      <c r="E1105" s="375"/>
      <c r="F1105" s="375"/>
      <c r="G1105" s="375"/>
      <c r="H1105" s="375"/>
      <c r="I1105" s="375"/>
      <c r="J1105" s="375"/>
      <c r="K1105" s="375"/>
    </row>
    <row r="1106" spans="1:11" ht="12.75">
      <c r="A1106" s="375"/>
      <c r="B1106" s="375"/>
      <c r="C1106" s="375"/>
      <c r="D1106" s="375"/>
      <c r="E1106" s="375"/>
      <c r="F1106" s="375"/>
      <c r="G1106" s="375"/>
      <c r="H1106" s="375"/>
      <c r="I1106" s="375"/>
      <c r="J1106" s="375"/>
      <c r="K1106" s="375"/>
    </row>
    <row r="1107" spans="1:11" ht="12.75">
      <c r="A1107" s="375"/>
      <c r="B1107" s="375"/>
      <c r="C1107" s="375"/>
      <c r="D1107" s="375"/>
      <c r="E1107" s="375"/>
      <c r="F1107" s="375"/>
      <c r="G1107" s="375"/>
      <c r="H1107" s="375"/>
      <c r="I1107" s="375"/>
      <c r="J1107" s="375"/>
      <c r="K1107" s="375"/>
    </row>
    <row r="1108" spans="1:11" ht="12.75">
      <c r="A1108" s="375"/>
      <c r="B1108" s="375"/>
      <c r="C1108" s="375"/>
      <c r="D1108" s="375"/>
      <c r="E1108" s="375"/>
      <c r="F1108" s="375"/>
      <c r="G1108" s="375"/>
      <c r="H1108" s="375"/>
      <c r="I1108" s="375"/>
      <c r="J1108" s="375"/>
      <c r="K1108" s="375"/>
    </row>
    <row r="1109" spans="1:11" ht="12.75">
      <c r="A1109" s="375"/>
      <c r="B1109" s="375"/>
      <c r="C1109" s="375"/>
      <c r="D1109" s="375"/>
      <c r="E1109" s="375"/>
      <c r="F1109" s="375"/>
      <c r="G1109" s="375"/>
      <c r="H1109" s="375"/>
      <c r="I1109" s="375"/>
      <c r="J1109" s="375"/>
      <c r="K1109" s="375"/>
    </row>
    <row r="1110" spans="1:11" ht="12.75">
      <c r="A1110" s="375"/>
      <c r="B1110" s="375"/>
      <c r="C1110" s="375"/>
      <c r="D1110" s="375"/>
      <c r="E1110" s="375"/>
      <c r="F1110" s="375"/>
      <c r="G1110" s="375"/>
      <c r="H1110" s="375"/>
      <c r="I1110" s="375"/>
      <c r="J1110" s="375"/>
      <c r="K1110" s="375"/>
    </row>
    <row r="1111" spans="1:11" ht="12.75">
      <c r="A1111" s="375"/>
      <c r="B1111" s="375"/>
      <c r="C1111" s="375"/>
      <c r="D1111" s="375"/>
      <c r="E1111" s="375"/>
      <c r="F1111" s="375"/>
      <c r="G1111" s="375"/>
      <c r="H1111" s="375"/>
      <c r="I1111" s="375"/>
      <c r="J1111" s="375"/>
      <c r="K1111" s="375"/>
    </row>
    <row r="1112" spans="1:11" ht="12.75">
      <c r="A1112" s="375"/>
      <c r="B1112" s="375"/>
      <c r="C1112" s="375"/>
      <c r="D1112" s="375"/>
      <c r="E1112" s="375"/>
      <c r="F1112" s="375"/>
      <c r="G1112" s="375"/>
      <c r="H1112" s="375"/>
      <c r="I1112" s="375"/>
      <c r="J1112" s="375"/>
      <c r="K1112" s="375"/>
    </row>
    <row r="1113" spans="1:11" ht="12.75">
      <c r="A1113" s="375"/>
      <c r="B1113" s="375"/>
      <c r="C1113" s="375"/>
      <c r="D1113" s="375"/>
      <c r="E1113" s="375"/>
      <c r="F1113" s="375"/>
      <c r="G1113" s="375"/>
      <c r="H1113" s="375"/>
      <c r="I1113" s="375"/>
      <c r="J1113" s="375"/>
      <c r="K1113" s="375"/>
    </row>
    <row r="1114" spans="1:11" ht="12.75">
      <c r="A1114" s="375"/>
      <c r="B1114" s="375"/>
      <c r="C1114" s="375"/>
      <c r="D1114" s="375"/>
      <c r="E1114" s="375"/>
      <c r="F1114" s="375"/>
      <c r="G1114" s="375"/>
      <c r="H1114" s="375"/>
      <c r="I1114" s="375"/>
      <c r="J1114" s="375"/>
      <c r="K1114" s="375"/>
    </row>
    <row r="1115" spans="1:11" ht="12.75">
      <c r="A1115" s="375"/>
      <c r="B1115" s="375"/>
      <c r="C1115" s="375"/>
      <c r="D1115" s="375"/>
      <c r="E1115" s="375"/>
      <c r="F1115" s="375"/>
      <c r="G1115" s="375"/>
      <c r="H1115" s="375"/>
      <c r="I1115" s="375"/>
      <c r="J1115" s="375"/>
      <c r="K1115" s="375"/>
    </row>
    <row r="1116" spans="1:11" ht="12.75">
      <c r="A1116" s="375"/>
      <c r="B1116" s="375"/>
      <c r="C1116" s="375"/>
      <c r="D1116" s="375"/>
      <c r="E1116" s="375"/>
      <c r="F1116" s="375"/>
      <c r="G1116" s="375"/>
      <c r="H1116" s="375"/>
      <c r="I1116" s="375"/>
      <c r="J1116" s="375"/>
      <c r="K1116" s="375"/>
    </row>
    <row r="1117" spans="1:11" ht="12.75">
      <c r="A1117" s="375"/>
      <c r="B1117" s="375"/>
      <c r="C1117" s="375"/>
      <c r="D1117" s="375"/>
      <c r="E1117" s="375"/>
      <c r="F1117" s="375"/>
      <c r="G1117" s="375"/>
      <c r="H1117" s="375"/>
      <c r="I1117" s="375"/>
      <c r="J1117" s="375"/>
      <c r="K1117" s="375"/>
    </row>
    <row r="1118" spans="1:11" ht="12.75">
      <c r="A1118" s="375"/>
      <c r="B1118" s="375"/>
      <c r="C1118" s="375"/>
      <c r="D1118" s="375"/>
      <c r="E1118" s="375"/>
      <c r="F1118" s="375"/>
      <c r="G1118" s="375"/>
      <c r="H1118" s="375"/>
      <c r="I1118" s="375"/>
      <c r="J1118" s="375"/>
      <c r="K1118" s="375"/>
    </row>
    <row r="1119" spans="1:11" ht="12.75">
      <c r="A1119" s="375"/>
      <c r="B1119" s="375"/>
      <c r="C1119" s="375"/>
      <c r="D1119" s="375"/>
      <c r="E1119" s="375"/>
      <c r="F1119" s="375"/>
      <c r="G1119" s="375"/>
      <c r="H1119" s="375"/>
      <c r="I1119" s="375"/>
      <c r="J1119" s="375"/>
      <c r="K1119" s="375"/>
    </row>
    <row r="1120" spans="1:11" ht="12.75">
      <c r="A1120" s="375"/>
      <c r="B1120" s="375"/>
      <c r="C1120" s="375"/>
      <c r="D1120" s="375"/>
      <c r="E1120" s="375"/>
      <c r="F1120" s="375"/>
      <c r="G1120" s="375"/>
      <c r="H1120" s="375"/>
      <c r="I1120" s="375"/>
      <c r="J1120" s="375"/>
      <c r="K1120" s="375"/>
    </row>
    <row r="1121" spans="1:11" ht="12.75">
      <c r="A1121" s="375"/>
      <c r="B1121" s="375"/>
      <c r="C1121" s="375"/>
      <c r="D1121" s="375"/>
      <c r="E1121" s="375"/>
      <c r="F1121" s="375"/>
      <c r="G1121" s="375"/>
      <c r="H1121" s="375"/>
      <c r="I1121" s="375"/>
      <c r="J1121" s="375"/>
      <c r="K1121" s="375"/>
    </row>
    <row r="1122" spans="1:11" ht="12.75">
      <c r="A1122" s="375"/>
      <c r="B1122" s="375"/>
      <c r="C1122" s="375"/>
      <c r="D1122" s="375"/>
      <c r="E1122" s="375"/>
      <c r="F1122" s="375"/>
      <c r="G1122" s="375"/>
      <c r="H1122" s="375"/>
      <c r="I1122" s="375"/>
      <c r="J1122" s="375"/>
      <c r="K1122" s="375"/>
    </row>
    <row r="1123" spans="1:11" ht="12.75">
      <c r="A1123" s="375"/>
      <c r="B1123" s="375"/>
      <c r="C1123" s="375"/>
      <c r="D1123" s="375"/>
      <c r="E1123" s="375"/>
      <c r="F1123" s="375"/>
      <c r="G1123" s="375"/>
      <c r="H1123" s="375"/>
      <c r="I1123" s="375"/>
      <c r="J1123" s="375"/>
      <c r="K1123" s="375"/>
    </row>
    <row r="1124" spans="1:11" ht="12.75">
      <c r="A1124" s="375"/>
      <c r="B1124" s="375"/>
      <c r="C1124" s="375"/>
      <c r="D1124" s="375"/>
      <c r="E1124" s="375"/>
      <c r="F1124" s="375"/>
      <c r="G1124" s="375"/>
      <c r="H1124" s="375"/>
      <c r="I1124" s="375"/>
      <c r="J1124" s="375"/>
      <c r="K1124" s="375"/>
    </row>
    <row r="1125" spans="1:11" ht="12.75">
      <c r="A1125" s="375"/>
      <c r="B1125" s="375"/>
      <c r="C1125" s="375"/>
      <c r="D1125" s="375"/>
      <c r="E1125" s="375"/>
      <c r="F1125" s="375"/>
      <c r="G1125" s="375"/>
      <c r="H1125" s="375"/>
      <c r="I1125" s="375"/>
      <c r="J1125" s="375"/>
      <c r="K1125" s="375"/>
    </row>
    <row r="1126" spans="1:11" ht="12.75">
      <c r="A1126" s="375"/>
      <c r="B1126" s="375"/>
      <c r="C1126" s="375"/>
      <c r="D1126" s="375"/>
      <c r="E1126" s="375"/>
      <c r="F1126" s="375"/>
      <c r="G1126" s="375"/>
      <c r="H1126" s="375"/>
      <c r="I1126" s="375"/>
      <c r="J1126" s="375"/>
      <c r="K1126" s="375"/>
    </row>
    <row r="1127" spans="1:11" ht="12.75">
      <c r="A1127" s="375"/>
      <c r="B1127" s="375"/>
      <c r="C1127" s="375"/>
      <c r="D1127" s="375"/>
      <c r="E1127" s="375"/>
      <c r="F1127" s="375"/>
      <c r="G1127" s="375"/>
      <c r="H1127" s="375"/>
      <c r="I1127" s="375"/>
      <c r="J1127" s="375"/>
      <c r="K1127" s="375"/>
    </row>
    <row r="1128" spans="1:11" ht="12.75">
      <c r="A1128" s="375"/>
      <c r="B1128" s="375"/>
      <c r="C1128" s="375"/>
      <c r="D1128" s="375"/>
      <c r="E1128" s="375"/>
      <c r="F1128" s="375"/>
      <c r="G1128" s="375"/>
      <c r="H1128" s="375"/>
      <c r="I1128" s="375"/>
      <c r="J1128" s="375"/>
      <c r="K1128" s="375"/>
    </row>
    <row r="1129" spans="1:11" ht="12.75">
      <c r="A1129" s="375"/>
      <c r="B1129" s="375"/>
      <c r="C1129" s="375"/>
      <c r="D1129" s="375"/>
      <c r="E1129" s="375"/>
      <c r="F1129" s="375"/>
      <c r="G1129" s="375"/>
      <c r="H1129" s="375"/>
      <c r="I1129" s="375"/>
      <c r="J1129" s="375"/>
      <c r="K1129" s="375"/>
    </row>
    <row r="1130" spans="1:11" ht="12.75">
      <c r="A1130" s="375"/>
      <c r="B1130" s="375"/>
      <c r="C1130" s="375"/>
      <c r="D1130" s="375"/>
      <c r="E1130" s="375"/>
      <c r="F1130" s="375"/>
      <c r="G1130" s="375"/>
      <c r="H1130" s="375"/>
      <c r="I1130" s="375"/>
      <c r="J1130" s="375"/>
      <c r="K1130" s="375"/>
    </row>
    <row r="1131" spans="1:11" ht="12.75">
      <c r="A1131" s="375"/>
      <c r="B1131" s="375"/>
      <c r="C1131" s="375"/>
      <c r="D1131" s="375"/>
      <c r="E1131" s="375"/>
      <c r="F1131" s="375"/>
      <c r="G1131" s="375"/>
      <c r="H1131" s="375"/>
      <c r="I1131" s="375"/>
      <c r="J1131" s="375"/>
      <c r="K1131" s="375"/>
    </row>
    <row r="1132" spans="1:11" ht="12.75">
      <c r="A1132" s="375"/>
      <c r="B1132" s="375"/>
      <c r="C1132" s="375"/>
      <c r="D1132" s="375"/>
      <c r="E1132" s="375"/>
      <c r="F1132" s="375"/>
      <c r="G1132" s="375"/>
      <c r="H1132" s="375"/>
      <c r="I1132" s="375"/>
      <c r="J1132" s="375"/>
      <c r="K1132" s="375"/>
    </row>
    <row r="1133" spans="1:11" ht="12.75">
      <c r="A1133" s="375"/>
      <c r="B1133" s="375"/>
      <c r="C1133" s="375"/>
      <c r="D1133" s="375"/>
      <c r="E1133" s="375"/>
      <c r="F1133" s="375"/>
      <c r="G1133" s="375"/>
      <c r="H1133" s="375"/>
      <c r="I1133" s="375"/>
      <c r="J1133" s="375"/>
      <c r="K1133" s="375"/>
    </row>
    <row r="1134" spans="1:11" ht="12.75">
      <c r="A1134" s="375"/>
      <c r="B1134" s="375"/>
      <c r="C1134" s="375"/>
      <c r="D1134" s="375"/>
      <c r="E1134" s="375"/>
      <c r="F1134" s="375"/>
      <c r="G1134" s="375"/>
      <c r="H1134" s="375"/>
      <c r="I1134" s="375"/>
      <c r="J1134" s="375"/>
      <c r="K1134" s="375"/>
    </row>
    <row r="1135" spans="1:11" ht="12.75">
      <c r="A1135" s="375"/>
      <c r="B1135" s="375"/>
      <c r="C1135" s="375"/>
      <c r="D1135" s="375"/>
      <c r="E1135" s="375"/>
      <c r="F1135" s="375"/>
      <c r="G1135" s="375"/>
      <c r="H1135" s="375"/>
      <c r="I1135" s="375"/>
      <c r="J1135" s="375"/>
      <c r="K1135" s="375"/>
    </row>
    <row r="1136" spans="1:11" ht="12.75">
      <c r="A1136" s="375"/>
      <c r="B1136" s="375"/>
      <c r="C1136" s="375"/>
      <c r="D1136" s="375"/>
      <c r="E1136" s="375"/>
      <c r="F1136" s="375"/>
      <c r="G1136" s="375"/>
      <c r="H1136" s="375"/>
      <c r="I1136" s="375"/>
      <c r="J1136" s="375"/>
      <c r="K1136" s="375"/>
    </row>
    <row r="1137" spans="1:11" ht="12.75">
      <c r="A1137" s="375"/>
      <c r="B1137" s="375"/>
      <c r="C1137" s="375"/>
      <c r="D1137" s="375"/>
      <c r="E1137" s="375"/>
      <c r="F1137" s="375"/>
      <c r="G1137" s="375"/>
      <c r="H1137" s="375"/>
      <c r="I1137" s="375"/>
      <c r="J1137" s="375"/>
      <c r="K1137" s="375"/>
    </row>
    <row r="1138" spans="1:11" ht="12.75">
      <c r="A1138" s="375"/>
      <c r="B1138" s="375"/>
      <c r="C1138" s="375"/>
      <c r="D1138" s="375"/>
      <c r="E1138" s="375"/>
      <c r="F1138" s="375"/>
      <c r="G1138" s="375"/>
      <c r="H1138" s="375"/>
      <c r="I1138" s="375"/>
      <c r="J1138" s="375"/>
      <c r="K1138" s="375"/>
    </row>
    <row r="1139" spans="1:11" ht="12.75">
      <c r="A1139" s="375"/>
      <c r="B1139" s="375"/>
      <c r="C1139" s="375"/>
      <c r="D1139" s="375"/>
      <c r="E1139" s="375"/>
      <c r="F1139" s="375"/>
      <c r="G1139" s="375"/>
      <c r="H1139" s="375"/>
      <c r="I1139" s="375"/>
      <c r="J1139" s="375"/>
      <c r="K1139" s="375"/>
    </row>
    <row r="1140" spans="1:11" ht="12.75">
      <c r="A1140" s="375"/>
      <c r="B1140" s="375"/>
      <c r="C1140" s="375"/>
      <c r="D1140" s="375"/>
      <c r="E1140" s="375"/>
      <c r="F1140" s="375"/>
      <c r="G1140" s="375"/>
      <c r="H1140" s="375"/>
      <c r="I1140" s="375"/>
      <c r="J1140" s="375"/>
      <c r="K1140" s="375"/>
    </row>
    <row r="1141" spans="1:11" ht="12.75">
      <c r="A1141" s="375"/>
      <c r="B1141" s="375"/>
      <c r="C1141" s="375"/>
      <c r="D1141" s="375"/>
      <c r="E1141" s="375"/>
      <c r="F1141" s="375"/>
      <c r="G1141" s="375"/>
      <c r="H1141" s="375"/>
      <c r="I1141" s="375"/>
      <c r="J1141" s="375"/>
      <c r="K1141" s="375"/>
    </row>
    <row r="1142" spans="1:11" ht="12.75">
      <c r="A1142" s="375"/>
      <c r="B1142" s="375"/>
      <c r="C1142" s="375"/>
      <c r="D1142" s="375"/>
      <c r="E1142" s="375"/>
      <c r="F1142" s="375"/>
      <c r="G1142" s="375"/>
      <c r="H1142" s="375"/>
      <c r="I1142" s="375"/>
      <c r="J1142" s="375"/>
      <c r="K1142" s="375"/>
    </row>
    <row r="1143" spans="1:11" ht="12.75">
      <c r="A1143" s="375"/>
      <c r="B1143" s="375"/>
      <c r="C1143" s="375"/>
      <c r="D1143" s="375"/>
      <c r="E1143" s="375"/>
      <c r="F1143" s="375"/>
      <c r="G1143" s="375"/>
      <c r="H1143" s="375"/>
      <c r="I1143" s="375"/>
      <c r="J1143" s="375"/>
      <c r="K1143" s="375"/>
    </row>
    <row r="1144" spans="1:11" ht="12.75">
      <c r="A1144" s="375"/>
      <c r="B1144" s="375"/>
      <c r="C1144" s="375"/>
      <c r="D1144" s="375"/>
      <c r="E1144" s="375"/>
      <c r="F1144" s="375"/>
      <c r="G1144" s="375"/>
      <c r="H1144" s="375"/>
      <c r="I1144" s="375"/>
      <c r="J1144" s="375"/>
      <c r="K1144" s="375"/>
    </row>
    <row r="1145" spans="1:11" ht="12.75">
      <c r="A1145" s="375"/>
      <c r="B1145" s="375"/>
      <c r="C1145" s="375"/>
      <c r="D1145" s="375"/>
      <c r="E1145" s="375"/>
      <c r="F1145" s="375"/>
      <c r="G1145" s="375"/>
      <c r="H1145" s="375"/>
      <c r="I1145" s="375"/>
      <c r="J1145" s="375"/>
      <c r="K1145" s="375"/>
    </row>
    <row r="1146" spans="1:11" ht="12.75">
      <c r="A1146" s="375"/>
      <c r="B1146" s="375"/>
      <c r="C1146" s="375"/>
      <c r="D1146" s="375"/>
      <c r="E1146" s="375"/>
      <c r="F1146" s="375"/>
      <c r="G1146" s="375"/>
      <c r="H1146" s="375"/>
      <c r="I1146" s="375"/>
      <c r="J1146" s="375"/>
      <c r="K1146" s="375"/>
    </row>
    <row r="1147" spans="1:11" ht="12.75">
      <c r="A1147" s="375"/>
      <c r="B1147" s="375"/>
      <c r="C1147" s="375"/>
      <c r="D1147" s="375"/>
      <c r="E1147" s="375"/>
      <c r="F1147" s="375"/>
      <c r="G1147" s="375"/>
      <c r="H1147" s="375"/>
      <c r="I1147" s="375"/>
      <c r="J1147" s="375"/>
      <c r="K1147" s="375"/>
    </row>
    <row r="1148" spans="1:11" ht="12.75">
      <c r="A1148" s="375"/>
      <c r="B1148" s="375"/>
      <c r="C1148" s="375"/>
      <c r="D1148" s="375"/>
      <c r="E1148" s="375"/>
      <c r="F1148" s="375"/>
      <c r="G1148" s="375"/>
      <c r="H1148" s="375"/>
      <c r="I1148" s="375"/>
      <c r="J1148" s="375"/>
      <c r="K1148" s="375"/>
    </row>
    <row r="1149" spans="1:11" ht="12.75">
      <c r="A1149" s="375"/>
      <c r="B1149" s="375"/>
      <c r="C1149" s="375"/>
      <c r="D1149" s="375"/>
      <c r="E1149" s="375"/>
      <c r="F1149" s="375"/>
      <c r="G1149" s="375"/>
      <c r="H1149" s="375"/>
      <c r="I1149" s="375"/>
      <c r="J1149" s="375"/>
      <c r="K1149" s="375"/>
    </row>
    <row r="1150" spans="1:11" ht="12.75">
      <c r="A1150" s="375"/>
      <c r="B1150" s="375"/>
      <c r="C1150" s="375"/>
      <c r="D1150" s="375"/>
      <c r="E1150" s="375"/>
      <c r="F1150" s="375"/>
      <c r="G1150" s="375"/>
      <c r="H1150" s="375"/>
      <c r="I1150" s="375"/>
      <c r="J1150" s="375"/>
      <c r="K1150" s="375"/>
    </row>
    <row r="1151" spans="1:11" ht="12.75">
      <c r="A1151" s="375"/>
      <c r="B1151" s="375"/>
      <c r="C1151" s="375"/>
      <c r="D1151" s="375"/>
      <c r="E1151" s="375"/>
      <c r="F1151" s="375"/>
      <c r="G1151" s="375"/>
      <c r="H1151" s="375"/>
      <c r="I1151" s="375"/>
      <c r="J1151" s="375"/>
      <c r="K1151" s="375"/>
    </row>
    <row r="1152" spans="1:11" ht="12.75">
      <c r="A1152" s="375"/>
      <c r="B1152" s="375"/>
      <c r="C1152" s="375"/>
      <c r="D1152" s="375"/>
      <c r="E1152" s="375"/>
      <c r="F1152" s="375"/>
      <c r="G1152" s="375"/>
      <c r="H1152" s="375"/>
      <c r="I1152" s="375"/>
      <c r="J1152" s="375"/>
      <c r="K1152" s="375"/>
    </row>
    <row r="1153" spans="1:11" ht="12.75">
      <c r="A1153" s="375"/>
      <c r="B1153" s="375"/>
      <c r="C1153" s="375"/>
      <c r="D1153" s="375"/>
      <c r="E1153" s="375"/>
      <c r="F1153" s="375"/>
      <c r="G1153" s="375"/>
      <c r="H1153" s="375"/>
      <c r="I1153" s="375"/>
      <c r="J1153" s="375"/>
      <c r="K1153" s="375"/>
    </row>
    <row r="1154" spans="1:11" ht="12.75">
      <c r="A1154" s="375"/>
      <c r="B1154" s="375"/>
      <c r="C1154" s="375"/>
      <c r="D1154" s="375"/>
      <c r="E1154" s="375"/>
      <c r="F1154" s="375"/>
      <c r="G1154" s="375"/>
      <c r="H1154" s="375"/>
      <c r="I1154" s="375"/>
      <c r="J1154" s="375"/>
      <c r="K1154" s="375"/>
    </row>
    <row r="1155" spans="1:11" ht="12.75">
      <c r="A1155" s="375"/>
      <c r="B1155" s="375"/>
      <c r="C1155" s="375"/>
      <c r="D1155" s="375"/>
      <c r="E1155" s="375"/>
      <c r="F1155" s="375"/>
      <c r="G1155" s="375"/>
      <c r="H1155" s="375"/>
      <c r="I1155" s="375"/>
      <c r="J1155" s="375"/>
      <c r="K1155" s="375"/>
    </row>
    <row r="1156" spans="1:11" ht="12.75">
      <c r="A1156" s="375"/>
      <c r="B1156" s="375"/>
      <c r="C1156" s="375"/>
      <c r="D1156" s="375"/>
      <c r="E1156" s="375"/>
      <c r="F1156" s="375"/>
      <c r="G1156" s="375"/>
      <c r="H1156" s="375"/>
      <c r="I1156" s="375"/>
      <c r="J1156" s="375"/>
      <c r="K1156" s="375"/>
    </row>
    <row r="1157" spans="1:11" ht="12.75">
      <c r="A1157" s="375"/>
      <c r="B1157" s="375"/>
      <c r="C1157" s="375"/>
      <c r="D1157" s="375"/>
      <c r="E1157" s="375"/>
      <c r="F1157" s="375"/>
      <c r="G1157" s="375"/>
      <c r="H1157" s="375"/>
      <c r="I1157" s="375"/>
      <c r="J1157" s="375"/>
      <c r="K1157" s="375"/>
    </row>
    <row r="1158" spans="1:11" ht="12.75">
      <c r="A1158" s="375"/>
      <c r="B1158" s="375"/>
      <c r="C1158" s="375"/>
      <c r="D1158" s="375"/>
      <c r="E1158" s="375"/>
      <c r="F1158" s="375"/>
      <c r="G1158" s="375"/>
      <c r="H1158" s="375"/>
      <c r="I1158" s="375"/>
      <c r="J1158" s="375"/>
      <c r="K1158" s="375"/>
    </row>
    <row r="1159" spans="1:11" ht="12.75">
      <c r="A1159" s="375"/>
      <c r="B1159" s="375"/>
      <c r="C1159" s="375"/>
      <c r="D1159" s="375"/>
      <c r="E1159" s="375"/>
      <c r="F1159" s="375"/>
      <c r="G1159" s="375"/>
      <c r="H1159" s="375"/>
      <c r="I1159" s="375"/>
      <c r="J1159" s="375"/>
      <c r="K1159" s="375"/>
    </row>
    <row r="1160" spans="1:11" ht="12.75">
      <c r="A1160" s="375"/>
      <c r="B1160" s="375"/>
      <c r="C1160" s="375"/>
      <c r="D1160" s="375"/>
      <c r="E1160" s="375"/>
      <c r="F1160" s="375"/>
      <c r="G1160" s="375"/>
      <c r="H1160" s="375"/>
      <c r="I1160" s="375"/>
      <c r="J1160" s="375"/>
      <c r="K1160" s="375"/>
    </row>
    <row r="1161" spans="1:11" ht="12.75">
      <c r="A1161" s="375"/>
      <c r="B1161" s="375"/>
      <c r="C1161" s="375"/>
      <c r="D1161" s="375"/>
      <c r="E1161" s="375"/>
      <c r="F1161" s="375"/>
      <c r="G1161" s="375"/>
      <c r="H1161" s="375"/>
      <c r="I1161" s="375"/>
      <c r="J1161" s="375"/>
      <c r="K1161" s="375"/>
    </row>
    <row r="1162" spans="1:11" ht="12.75">
      <c r="A1162" s="375"/>
      <c r="B1162" s="375"/>
      <c r="C1162" s="375"/>
      <c r="D1162" s="375"/>
      <c r="E1162" s="375"/>
      <c r="F1162" s="375"/>
      <c r="G1162" s="375"/>
      <c r="H1162" s="375"/>
      <c r="I1162" s="375"/>
      <c r="J1162" s="375"/>
      <c r="K1162" s="375"/>
    </row>
    <row r="1163" spans="1:11" ht="12.75">
      <c r="A1163" s="375"/>
      <c r="B1163" s="375"/>
      <c r="C1163" s="375"/>
      <c r="D1163" s="375"/>
      <c r="E1163" s="375"/>
      <c r="F1163" s="375"/>
      <c r="G1163" s="375"/>
      <c r="H1163" s="375"/>
      <c r="I1163" s="375"/>
      <c r="J1163" s="375"/>
      <c r="K1163" s="375"/>
    </row>
    <row r="1164" spans="1:11" ht="12.75">
      <c r="A1164" s="375"/>
      <c r="B1164" s="375"/>
      <c r="C1164" s="375"/>
      <c r="D1164" s="375"/>
      <c r="E1164" s="375"/>
      <c r="F1164" s="375"/>
      <c r="G1164" s="375"/>
      <c r="H1164" s="375"/>
      <c r="I1164" s="375"/>
      <c r="J1164" s="375"/>
      <c r="K1164" s="375"/>
    </row>
    <row r="1165" spans="1:11" ht="12.75">
      <c r="A1165" s="375"/>
      <c r="B1165" s="375"/>
      <c r="C1165" s="375"/>
      <c r="D1165" s="375"/>
      <c r="E1165" s="375"/>
      <c r="F1165" s="375"/>
      <c r="G1165" s="375"/>
      <c r="H1165" s="375"/>
      <c r="I1165" s="375"/>
      <c r="J1165" s="375"/>
      <c r="K1165" s="375"/>
    </row>
    <row r="1166" spans="1:11" ht="12.75">
      <c r="A1166" s="375"/>
      <c r="B1166" s="375"/>
      <c r="C1166" s="375"/>
      <c r="D1166" s="375"/>
      <c r="E1166" s="375"/>
      <c r="F1166" s="375"/>
      <c r="G1166" s="375"/>
      <c r="H1166" s="375"/>
      <c r="I1166" s="375"/>
      <c r="J1166" s="375"/>
      <c r="K1166" s="375"/>
    </row>
    <row r="1167" spans="1:11" ht="12.75">
      <c r="A1167" s="375"/>
      <c r="B1167" s="375"/>
      <c r="C1167" s="375"/>
      <c r="D1167" s="375"/>
      <c r="E1167" s="375"/>
      <c r="F1167" s="375"/>
      <c r="G1167" s="375"/>
      <c r="H1167" s="375"/>
      <c r="I1167" s="375"/>
      <c r="J1167" s="375"/>
      <c r="K1167" s="375"/>
    </row>
    <row r="1168" spans="1:11" ht="12.75">
      <c r="A1168" s="375"/>
      <c r="B1168" s="375"/>
      <c r="C1168" s="375"/>
      <c r="D1168" s="375"/>
      <c r="E1168" s="375"/>
      <c r="F1168" s="375"/>
      <c r="G1168" s="375"/>
      <c r="H1168" s="375"/>
      <c r="I1168" s="375"/>
      <c r="J1168" s="375"/>
      <c r="K1168" s="375"/>
    </row>
    <row r="1169" spans="1:11" ht="12.75">
      <c r="A1169" s="375"/>
      <c r="B1169" s="375"/>
      <c r="C1169" s="375"/>
      <c r="D1169" s="375"/>
      <c r="E1169" s="375"/>
      <c r="F1169" s="375"/>
      <c r="G1169" s="375"/>
      <c r="H1169" s="375"/>
      <c r="I1169" s="375"/>
      <c r="J1169" s="375"/>
      <c r="K1169" s="375"/>
    </row>
    <row r="1170" spans="1:11" ht="12.75">
      <c r="A1170" s="375"/>
      <c r="B1170" s="375"/>
      <c r="C1170" s="375"/>
      <c r="D1170" s="375"/>
      <c r="E1170" s="375"/>
      <c r="F1170" s="375"/>
      <c r="G1170" s="375"/>
      <c r="H1170" s="375"/>
      <c r="I1170" s="375"/>
      <c r="J1170" s="375"/>
      <c r="K1170" s="375"/>
    </row>
    <row r="1171" spans="1:11" ht="12.75">
      <c r="A1171" s="375"/>
      <c r="B1171" s="375"/>
      <c r="C1171" s="375"/>
      <c r="D1171" s="375"/>
      <c r="E1171" s="375"/>
      <c r="F1171" s="375"/>
      <c r="G1171" s="375"/>
      <c r="H1171" s="375"/>
      <c r="I1171" s="375"/>
      <c r="J1171" s="375"/>
      <c r="K1171" s="375"/>
    </row>
    <row r="1172" spans="1:11" ht="12.75">
      <c r="A1172" s="375"/>
      <c r="B1172" s="375"/>
      <c r="C1172" s="375"/>
      <c r="D1172" s="375"/>
      <c r="E1172" s="375"/>
      <c r="F1172" s="375"/>
      <c r="G1172" s="375"/>
      <c r="H1172" s="375"/>
      <c r="I1172" s="375"/>
      <c r="J1172" s="375"/>
      <c r="K1172" s="375"/>
    </row>
    <row r="1173" spans="1:11" ht="12.75">
      <c r="A1173" s="375"/>
      <c r="B1173" s="375"/>
      <c r="C1173" s="375"/>
      <c r="D1173" s="375"/>
      <c r="E1173" s="375"/>
      <c r="F1173" s="375"/>
      <c r="G1173" s="375"/>
      <c r="H1173" s="375"/>
      <c r="I1173" s="375"/>
      <c r="J1173" s="375"/>
      <c r="K1173" s="375"/>
    </row>
    <row r="1174" spans="1:11" ht="12.75">
      <c r="A1174" s="375"/>
      <c r="B1174" s="375"/>
      <c r="C1174" s="375"/>
      <c r="D1174" s="375"/>
      <c r="E1174" s="375"/>
      <c r="F1174" s="375"/>
      <c r="G1174" s="375"/>
      <c r="H1174" s="375"/>
      <c r="I1174" s="375"/>
      <c r="J1174" s="375"/>
      <c r="K1174" s="375"/>
    </row>
    <row r="1175" spans="1:11" ht="12.75">
      <c r="A1175" s="375"/>
      <c r="B1175" s="375"/>
      <c r="C1175" s="375"/>
      <c r="D1175" s="375"/>
      <c r="E1175" s="375"/>
      <c r="F1175" s="375"/>
      <c r="G1175" s="375"/>
      <c r="H1175" s="375"/>
      <c r="I1175" s="375"/>
      <c r="J1175" s="375"/>
      <c r="K1175" s="375"/>
    </row>
    <row r="1176" spans="1:11" ht="12.75">
      <c r="A1176" s="375"/>
      <c r="B1176" s="375"/>
      <c r="C1176" s="375"/>
      <c r="D1176" s="375"/>
      <c r="E1176" s="375"/>
      <c r="F1176" s="375"/>
      <c r="G1176" s="375"/>
      <c r="H1176" s="375"/>
      <c r="I1176" s="375"/>
      <c r="J1176" s="375"/>
      <c r="K1176" s="375"/>
    </row>
    <row r="1177" spans="1:11" ht="12.75">
      <c r="A1177" s="375"/>
      <c r="B1177" s="375"/>
      <c r="C1177" s="375"/>
      <c r="D1177" s="375"/>
      <c r="E1177" s="375"/>
      <c r="F1177" s="375"/>
      <c r="G1177" s="375"/>
      <c r="H1177" s="375"/>
      <c r="I1177" s="375"/>
      <c r="J1177" s="375"/>
      <c r="K1177" s="375"/>
    </row>
    <row r="1178" spans="1:11" ht="12.75">
      <c r="A1178" s="375"/>
      <c r="B1178" s="375"/>
      <c r="C1178" s="375"/>
      <c r="D1178" s="375"/>
      <c r="E1178" s="375"/>
      <c r="F1178" s="375"/>
      <c r="G1178" s="375"/>
      <c r="H1178" s="375"/>
      <c r="I1178" s="375"/>
      <c r="J1178" s="375"/>
      <c r="K1178" s="375"/>
    </row>
    <row r="1179" spans="1:11" ht="12.75">
      <c r="A1179" s="375"/>
      <c r="B1179" s="375"/>
      <c r="C1179" s="375"/>
      <c r="D1179" s="375"/>
      <c r="E1179" s="375"/>
      <c r="F1179" s="375"/>
      <c r="G1179" s="375"/>
      <c r="H1179" s="375"/>
      <c r="I1179" s="375"/>
      <c r="J1179" s="375"/>
      <c r="K1179" s="375"/>
    </row>
    <row r="1180" spans="1:11" ht="12.75">
      <c r="A1180" s="375"/>
      <c r="B1180" s="375"/>
      <c r="C1180" s="375"/>
      <c r="D1180" s="375"/>
      <c r="E1180" s="375"/>
      <c r="F1180" s="375"/>
      <c r="G1180" s="375"/>
      <c r="H1180" s="375"/>
      <c r="I1180" s="375"/>
      <c r="J1180" s="375"/>
      <c r="K1180" s="375"/>
    </row>
    <row r="1181" spans="1:11" ht="12.75">
      <c r="A1181" s="375"/>
      <c r="B1181" s="375"/>
      <c r="C1181" s="375"/>
      <c r="D1181" s="375"/>
      <c r="E1181" s="375"/>
      <c r="F1181" s="375"/>
      <c r="G1181" s="375"/>
      <c r="H1181" s="375"/>
      <c r="I1181" s="375"/>
      <c r="J1181" s="375"/>
      <c r="K1181" s="375"/>
    </row>
    <row r="1182" spans="1:11" ht="12.75">
      <c r="A1182" s="375"/>
      <c r="B1182" s="375"/>
      <c r="C1182" s="375"/>
      <c r="D1182" s="375"/>
      <c r="E1182" s="375"/>
      <c r="F1182" s="375"/>
      <c r="G1182" s="375"/>
      <c r="H1182" s="375"/>
      <c r="I1182" s="375"/>
      <c r="J1182" s="375"/>
      <c r="K1182" s="375"/>
    </row>
    <row r="1183" spans="1:11" ht="12.75">
      <c r="A1183" s="375"/>
      <c r="B1183" s="375"/>
      <c r="C1183" s="375"/>
      <c r="D1183" s="375"/>
      <c r="E1183" s="375"/>
      <c r="F1183" s="375"/>
      <c r="G1183" s="375"/>
      <c r="H1183" s="375"/>
      <c r="I1183" s="375"/>
      <c r="J1183" s="375"/>
      <c r="K1183" s="375"/>
    </row>
    <row r="1184" spans="1:11" ht="12.75">
      <c r="A1184" s="375"/>
      <c r="B1184" s="375"/>
      <c r="C1184" s="375"/>
      <c r="D1184" s="375"/>
      <c r="E1184" s="375"/>
      <c r="F1184" s="375"/>
      <c r="G1184" s="375"/>
      <c r="H1184" s="375"/>
      <c r="I1184" s="375"/>
      <c r="J1184" s="375"/>
      <c r="K1184" s="375"/>
    </row>
    <row r="1185" spans="1:11" ht="12.75">
      <c r="A1185" s="375"/>
      <c r="B1185" s="375"/>
      <c r="C1185" s="375"/>
      <c r="D1185" s="375"/>
      <c r="E1185" s="375"/>
      <c r="F1185" s="375"/>
      <c r="G1185" s="375"/>
      <c r="H1185" s="375"/>
      <c r="I1185" s="375"/>
      <c r="J1185" s="375"/>
      <c r="K1185" s="375"/>
    </row>
    <row r="1186" spans="1:11" ht="12.75">
      <c r="A1186" s="375"/>
      <c r="B1186" s="375"/>
      <c r="C1186" s="375"/>
      <c r="D1186" s="375"/>
      <c r="E1186" s="375"/>
      <c r="F1186" s="375"/>
      <c r="G1186" s="375"/>
      <c r="H1186" s="375"/>
      <c r="I1186" s="375"/>
      <c r="J1186" s="375"/>
      <c r="K1186" s="375"/>
    </row>
    <row r="1187" spans="1:11" ht="12.75">
      <c r="A1187" s="375"/>
      <c r="B1187" s="375"/>
      <c r="C1187" s="375"/>
      <c r="D1187" s="375"/>
      <c r="E1187" s="375"/>
      <c r="F1187" s="375"/>
      <c r="G1187" s="375"/>
      <c r="H1187" s="375"/>
      <c r="I1187" s="375"/>
      <c r="J1187" s="375"/>
      <c r="K1187" s="375"/>
    </row>
    <row r="1188" spans="1:11" ht="12.75">
      <c r="A1188" s="375"/>
      <c r="B1188" s="375"/>
      <c r="C1188" s="375"/>
      <c r="D1188" s="375"/>
      <c r="E1188" s="375"/>
      <c r="F1188" s="375"/>
      <c r="G1188" s="375"/>
      <c r="H1188" s="375"/>
      <c r="I1188" s="375"/>
      <c r="J1188" s="375"/>
      <c r="K1188" s="375"/>
    </row>
    <row r="1189" spans="1:11" ht="12.75">
      <c r="A1189" s="375"/>
      <c r="B1189" s="375"/>
      <c r="C1189" s="375"/>
      <c r="D1189" s="375"/>
      <c r="E1189" s="375"/>
      <c r="F1189" s="375"/>
      <c r="G1189" s="375"/>
      <c r="H1189" s="375"/>
      <c r="I1189" s="375"/>
      <c r="J1189" s="375"/>
      <c r="K1189" s="375"/>
    </row>
    <row r="1190" spans="1:11" ht="12.75">
      <c r="A1190" s="375"/>
      <c r="B1190" s="375"/>
      <c r="C1190" s="375"/>
      <c r="D1190" s="375"/>
      <c r="E1190" s="375"/>
      <c r="F1190" s="375"/>
      <c r="G1190" s="375"/>
      <c r="H1190" s="375"/>
      <c r="I1190" s="375"/>
      <c r="J1190" s="375"/>
      <c r="K1190" s="375"/>
    </row>
    <row r="1191" spans="1:11" ht="12.75">
      <c r="A1191" s="375"/>
      <c r="B1191" s="375"/>
      <c r="C1191" s="375"/>
      <c r="D1191" s="375"/>
      <c r="E1191" s="375"/>
      <c r="F1191" s="375"/>
      <c r="G1191" s="375"/>
      <c r="H1191" s="375"/>
      <c r="I1191" s="375"/>
      <c r="J1191" s="375"/>
      <c r="K1191" s="375"/>
    </row>
    <row r="1192" spans="1:11" ht="12.75">
      <c r="A1192" s="375"/>
      <c r="B1192" s="375"/>
      <c r="C1192" s="375"/>
      <c r="D1192" s="375"/>
      <c r="E1192" s="375"/>
      <c r="F1192" s="375"/>
      <c r="G1192" s="375"/>
      <c r="H1192" s="375"/>
      <c r="I1192" s="375"/>
      <c r="J1192" s="375"/>
      <c r="K1192" s="375"/>
    </row>
    <row r="1193" spans="1:11" ht="12.75">
      <c r="A1193" s="375"/>
      <c r="B1193" s="375"/>
      <c r="C1193" s="375"/>
      <c r="D1193" s="375"/>
      <c r="E1193" s="375"/>
      <c r="F1193" s="375"/>
      <c r="G1193" s="375"/>
      <c r="H1193" s="375"/>
      <c r="I1193" s="375"/>
      <c r="J1193" s="375"/>
      <c r="K1193" s="375"/>
    </row>
    <row r="1194" spans="1:11" ht="12.75">
      <c r="A1194" s="375"/>
      <c r="B1194" s="375"/>
      <c r="C1194" s="375"/>
      <c r="D1194" s="375"/>
      <c r="E1194" s="375"/>
      <c r="F1194" s="375"/>
      <c r="G1194" s="375"/>
      <c r="H1194" s="375"/>
      <c r="I1194" s="375"/>
      <c r="J1194" s="375"/>
      <c r="K1194" s="375"/>
    </row>
    <row r="1195" spans="1:11" ht="12.75">
      <c r="A1195" s="375"/>
      <c r="B1195" s="375"/>
      <c r="C1195" s="375"/>
      <c r="D1195" s="375"/>
      <c r="E1195" s="375"/>
      <c r="F1195" s="375"/>
      <c r="G1195" s="375"/>
      <c r="H1195" s="375"/>
      <c r="I1195" s="375"/>
      <c r="J1195" s="375"/>
      <c r="K1195" s="375"/>
    </row>
    <row r="1196" spans="1:11" ht="12.75">
      <c r="A1196" s="375"/>
      <c r="B1196" s="375"/>
      <c r="C1196" s="375"/>
      <c r="D1196" s="375"/>
      <c r="E1196" s="375"/>
      <c r="F1196" s="375"/>
      <c r="G1196" s="375"/>
      <c r="H1196" s="375"/>
      <c r="I1196" s="375"/>
      <c r="J1196" s="375"/>
      <c r="K1196" s="375"/>
    </row>
    <row r="1197" spans="1:11" ht="12.75">
      <c r="A1197" s="375"/>
      <c r="B1197" s="375"/>
      <c r="C1197" s="375"/>
      <c r="D1197" s="375"/>
      <c r="E1197" s="375"/>
      <c r="F1197" s="375"/>
      <c r="G1197" s="375"/>
      <c r="H1197" s="375"/>
      <c r="I1197" s="375"/>
      <c r="J1197" s="375"/>
      <c r="K1197" s="375"/>
    </row>
    <row r="1198" spans="1:11" ht="12.75">
      <c r="A1198" s="375"/>
      <c r="B1198" s="375"/>
      <c r="C1198" s="375"/>
      <c r="D1198" s="375"/>
      <c r="E1198" s="375"/>
      <c r="F1198" s="375"/>
      <c r="G1198" s="375"/>
      <c r="H1198" s="375"/>
      <c r="I1198" s="375"/>
      <c r="J1198" s="375"/>
      <c r="K1198" s="375"/>
    </row>
    <row r="1199" spans="1:11" ht="12.75">
      <c r="A1199" s="375"/>
      <c r="B1199" s="375"/>
      <c r="C1199" s="375"/>
      <c r="D1199" s="375"/>
      <c r="E1199" s="375"/>
      <c r="F1199" s="375"/>
      <c r="G1199" s="375"/>
      <c r="H1199" s="375"/>
      <c r="I1199" s="375"/>
      <c r="J1199" s="375"/>
      <c r="K1199" s="375"/>
    </row>
    <row r="1200" spans="1:11" ht="12.75">
      <c r="A1200" s="375"/>
      <c r="B1200" s="375"/>
      <c r="C1200" s="375"/>
      <c r="D1200" s="375"/>
      <c r="E1200" s="375"/>
      <c r="F1200" s="375"/>
      <c r="G1200" s="375"/>
      <c r="H1200" s="375"/>
      <c r="I1200" s="375"/>
      <c r="J1200" s="375"/>
      <c r="K1200" s="375"/>
    </row>
    <row r="1201" spans="1:11" ht="12.75">
      <c r="A1201" s="375"/>
      <c r="B1201" s="375"/>
      <c r="C1201" s="375"/>
      <c r="D1201" s="375"/>
      <c r="E1201" s="375"/>
      <c r="F1201" s="375"/>
      <c r="G1201" s="375"/>
      <c r="H1201" s="375"/>
      <c r="I1201" s="375"/>
      <c r="J1201" s="375"/>
      <c r="K1201" s="375"/>
    </row>
    <row r="1202" spans="1:11" ht="12.75">
      <c r="A1202" s="375"/>
      <c r="B1202" s="375"/>
      <c r="C1202" s="375"/>
      <c r="D1202" s="375"/>
      <c r="E1202" s="375"/>
      <c r="F1202" s="375"/>
      <c r="G1202" s="375"/>
      <c r="H1202" s="375"/>
      <c r="I1202" s="375"/>
      <c r="J1202" s="375"/>
      <c r="K1202" s="375"/>
    </row>
    <row r="1203" spans="1:11" ht="12.75">
      <c r="A1203" s="375"/>
      <c r="B1203" s="375"/>
      <c r="C1203" s="375"/>
      <c r="D1203" s="375"/>
      <c r="E1203" s="375"/>
      <c r="F1203" s="375"/>
      <c r="G1203" s="375"/>
      <c r="H1203" s="375"/>
      <c r="I1203" s="375"/>
      <c r="J1203" s="375"/>
      <c r="K1203" s="375"/>
    </row>
    <row r="1204" spans="1:11" ht="12.75">
      <c r="A1204" s="375"/>
      <c r="B1204" s="375"/>
      <c r="C1204" s="375"/>
      <c r="D1204" s="375"/>
      <c r="E1204" s="375"/>
      <c r="F1204" s="375"/>
      <c r="G1204" s="375"/>
      <c r="H1204" s="375"/>
      <c r="I1204" s="375"/>
      <c r="J1204" s="375"/>
      <c r="K1204" s="375"/>
    </row>
    <row r="1205" spans="1:11" ht="12.75">
      <c r="A1205" s="375"/>
      <c r="B1205" s="375"/>
      <c r="C1205" s="375"/>
      <c r="D1205" s="375"/>
      <c r="E1205" s="375"/>
      <c r="F1205" s="375"/>
      <c r="G1205" s="375"/>
      <c r="H1205" s="375"/>
      <c r="I1205" s="375"/>
      <c r="J1205" s="375"/>
      <c r="K1205" s="375"/>
    </row>
    <row r="1206" spans="1:11" ht="12.75">
      <c r="A1206" s="375"/>
      <c r="B1206" s="375"/>
      <c r="C1206" s="375"/>
      <c r="D1206" s="375"/>
      <c r="E1206" s="375"/>
      <c r="F1206" s="375"/>
      <c r="G1206" s="375"/>
      <c r="H1206" s="375"/>
      <c r="I1206" s="375"/>
      <c r="J1206" s="375"/>
      <c r="K1206" s="375"/>
    </row>
    <row r="1207" spans="1:11" ht="12.75">
      <c r="A1207" s="375"/>
      <c r="B1207" s="375"/>
      <c r="C1207" s="375"/>
      <c r="D1207" s="375"/>
      <c r="E1207" s="375"/>
      <c r="F1207" s="375"/>
      <c r="G1207" s="375"/>
      <c r="H1207" s="375"/>
      <c r="I1207" s="375"/>
      <c r="J1207" s="375"/>
      <c r="K1207" s="375"/>
    </row>
    <row r="1208" spans="1:11" ht="12.75">
      <c r="A1208" s="375"/>
      <c r="B1208" s="375"/>
      <c r="C1208" s="375"/>
      <c r="D1208" s="375"/>
      <c r="E1208" s="375"/>
      <c r="F1208" s="375"/>
      <c r="G1208" s="375"/>
      <c r="H1208" s="375"/>
      <c r="I1208" s="375"/>
      <c r="J1208" s="375"/>
      <c r="K1208" s="375"/>
    </row>
    <row r="1209" spans="1:11" ht="12.75">
      <c r="A1209" s="375"/>
      <c r="B1209" s="375"/>
      <c r="C1209" s="375"/>
      <c r="D1209" s="375"/>
      <c r="E1209" s="375"/>
      <c r="F1209" s="375"/>
      <c r="G1209" s="375"/>
      <c r="H1209" s="375"/>
      <c r="I1209" s="375"/>
      <c r="J1209" s="375"/>
      <c r="K1209" s="375"/>
    </row>
    <row r="1210" spans="1:11" ht="12.75">
      <c r="A1210" s="375"/>
      <c r="B1210" s="375"/>
      <c r="C1210" s="375"/>
      <c r="D1210" s="375"/>
      <c r="E1210" s="375"/>
      <c r="F1210" s="375"/>
      <c r="G1210" s="375"/>
      <c r="H1210" s="375"/>
      <c r="I1210" s="375"/>
      <c r="J1210" s="375"/>
      <c r="K1210" s="375"/>
    </row>
    <row r="1211" spans="1:11" ht="12.75">
      <c r="A1211" s="375"/>
      <c r="B1211" s="375"/>
      <c r="C1211" s="375"/>
      <c r="D1211" s="375"/>
      <c r="E1211" s="375"/>
      <c r="F1211" s="375"/>
      <c r="G1211" s="375"/>
      <c r="H1211" s="375"/>
      <c r="I1211" s="375"/>
      <c r="J1211" s="375"/>
      <c r="K1211" s="375"/>
    </row>
    <row r="1212" spans="1:11" ht="12.75">
      <c r="A1212" s="375"/>
      <c r="B1212" s="375"/>
      <c r="C1212" s="375"/>
      <c r="D1212" s="375"/>
      <c r="E1212" s="375"/>
      <c r="F1212" s="375"/>
      <c r="G1212" s="375"/>
      <c r="H1212" s="375"/>
      <c r="I1212" s="375"/>
      <c r="J1212" s="375"/>
      <c r="K1212" s="375"/>
    </row>
    <row r="1213" spans="1:11" ht="12.75">
      <c r="A1213" s="375"/>
      <c r="B1213" s="375"/>
      <c r="C1213" s="375"/>
      <c r="D1213" s="375"/>
      <c r="E1213" s="375"/>
      <c r="F1213" s="375"/>
      <c r="G1213" s="375"/>
      <c r="H1213" s="375"/>
      <c r="I1213" s="375"/>
      <c r="J1213" s="375"/>
      <c r="K1213" s="375"/>
    </row>
    <row r="1214" spans="1:11" ht="12.75">
      <c r="A1214" s="375"/>
      <c r="B1214" s="375"/>
      <c r="C1214" s="375"/>
      <c r="D1214" s="375"/>
      <c r="E1214" s="375"/>
      <c r="F1214" s="375"/>
      <c r="G1214" s="375"/>
      <c r="H1214" s="375"/>
      <c r="I1214" s="375"/>
      <c r="J1214" s="375"/>
      <c r="K1214" s="375"/>
    </row>
    <row r="1215" spans="1:11" ht="12.75">
      <c r="A1215" s="375"/>
      <c r="B1215" s="375"/>
      <c r="C1215" s="375"/>
      <c r="D1215" s="375"/>
      <c r="E1215" s="375"/>
      <c r="F1215" s="375"/>
      <c r="G1215" s="375"/>
      <c r="H1215" s="375"/>
      <c r="I1215" s="375"/>
      <c r="J1215" s="375"/>
      <c r="K1215" s="375"/>
    </row>
    <row r="1216" spans="1:11" ht="12.75">
      <c r="A1216" s="375"/>
      <c r="B1216" s="375"/>
      <c r="C1216" s="375"/>
      <c r="D1216" s="375"/>
      <c r="E1216" s="375"/>
      <c r="F1216" s="375"/>
      <c r="G1216" s="375"/>
      <c r="H1216" s="375"/>
      <c r="I1216" s="375"/>
      <c r="J1216" s="375"/>
      <c r="K1216" s="375"/>
    </row>
    <row r="1217" spans="1:11" ht="12.75">
      <c r="A1217" s="375"/>
      <c r="B1217" s="375"/>
      <c r="C1217" s="375"/>
      <c r="D1217" s="375"/>
      <c r="E1217" s="375"/>
      <c r="F1217" s="375"/>
      <c r="G1217" s="375"/>
      <c r="H1217" s="375"/>
      <c r="I1217" s="375"/>
      <c r="J1217" s="375"/>
      <c r="K1217" s="375"/>
    </row>
    <row r="1218" spans="1:11" ht="12.75">
      <c r="A1218" s="375"/>
      <c r="B1218" s="375"/>
      <c r="C1218" s="375"/>
      <c r="D1218" s="375"/>
      <c r="E1218" s="375"/>
      <c r="F1218" s="375"/>
      <c r="G1218" s="375"/>
      <c r="H1218" s="375"/>
      <c r="I1218" s="375"/>
      <c r="J1218" s="375"/>
      <c r="K1218" s="375"/>
    </row>
    <row r="1219" spans="1:11" ht="12.75">
      <c r="A1219" s="375"/>
      <c r="B1219" s="375"/>
      <c r="C1219" s="375"/>
      <c r="D1219" s="375"/>
      <c r="E1219" s="375"/>
      <c r="F1219" s="375"/>
      <c r="G1219" s="375"/>
      <c r="H1219" s="375"/>
      <c r="I1219" s="375"/>
      <c r="J1219" s="375"/>
      <c r="K1219" s="375"/>
    </row>
    <row r="1220" spans="1:11" ht="12.75">
      <c r="A1220" s="375"/>
      <c r="B1220" s="375"/>
      <c r="C1220" s="375"/>
      <c r="D1220" s="375"/>
      <c r="E1220" s="375"/>
      <c r="F1220" s="375"/>
      <c r="G1220" s="375"/>
      <c r="H1220" s="375"/>
      <c r="I1220" s="375"/>
      <c r="J1220" s="375"/>
      <c r="K1220" s="375"/>
    </row>
    <row r="1221" spans="1:11" ht="12.75">
      <c r="A1221" s="375"/>
      <c r="B1221" s="375"/>
      <c r="C1221" s="375"/>
      <c r="D1221" s="375"/>
      <c r="E1221" s="375"/>
      <c r="F1221" s="375"/>
      <c r="G1221" s="375"/>
      <c r="H1221" s="375"/>
      <c r="I1221" s="375"/>
      <c r="J1221" s="375"/>
      <c r="K1221" s="375"/>
    </row>
    <row r="1222" spans="1:11" ht="12.75">
      <c r="A1222" s="375"/>
      <c r="B1222" s="375"/>
      <c r="C1222" s="375"/>
      <c r="D1222" s="375"/>
      <c r="E1222" s="375"/>
      <c r="F1222" s="375"/>
      <c r="G1222" s="375"/>
      <c r="H1222" s="375"/>
      <c r="I1222" s="375"/>
      <c r="J1222" s="375"/>
      <c r="K1222" s="375"/>
    </row>
    <row r="1223" spans="1:11" ht="12.75">
      <c r="A1223" s="375"/>
      <c r="B1223" s="375"/>
      <c r="C1223" s="375"/>
      <c r="D1223" s="375"/>
      <c r="E1223" s="375"/>
      <c r="F1223" s="375"/>
      <c r="G1223" s="375"/>
      <c r="H1223" s="375"/>
      <c r="I1223" s="375"/>
      <c r="J1223" s="375"/>
      <c r="K1223" s="375"/>
    </row>
    <row r="1224" spans="1:11" ht="12.75">
      <c r="A1224" s="375"/>
      <c r="B1224" s="375"/>
      <c r="C1224" s="375"/>
      <c r="D1224" s="375"/>
      <c r="E1224" s="375"/>
      <c r="F1224" s="375"/>
      <c r="G1224" s="375"/>
      <c r="H1224" s="375"/>
      <c r="I1224" s="375"/>
      <c r="J1224" s="375"/>
      <c r="K1224" s="375"/>
    </row>
    <row r="1225" spans="1:11" ht="12.75">
      <c r="A1225" s="375"/>
      <c r="B1225" s="375"/>
      <c r="C1225" s="375"/>
      <c r="D1225" s="375"/>
      <c r="E1225" s="375"/>
      <c r="F1225" s="375"/>
      <c r="G1225" s="375"/>
      <c r="H1225" s="375"/>
      <c r="I1225" s="375"/>
      <c r="J1225" s="375"/>
      <c r="K1225" s="375"/>
    </row>
    <row r="1226" spans="1:11" ht="12.75">
      <c r="A1226" s="375"/>
      <c r="B1226" s="375"/>
      <c r="C1226" s="375"/>
      <c r="D1226" s="375"/>
      <c r="E1226" s="375"/>
      <c r="F1226" s="375"/>
      <c r="G1226" s="375"/>
      <c r="H1226" s="375"/>
      <c r="I1226" s="375"/>
      <c r="J1226" s="375"/>
      <c r="K1226" s="375"/>
    </row>
    <row r="1227" spans="1:11" ht="12.75">
      <c r="A1227" s="375"/>
      <c r="B1227" s="375"/>
      <c r="C1227" s="375"/>
      <c r="D1227" s="375"/>
      <c r="E1227" s="375"/>
      <c r="F1227" s="375"/>
      <c r="G1227" s="375"/>
      <c r="H1227" s="375"/>
      <c r="I1227" s="375"/>
      <c r="J1227" s="375"/>
      <c r="K1227" s="375"/>
    </row>
    <row r="1228" spans="1:11" ht="12.75">
      <c r="A1228" s="375"/>
      <c r="B1228" s="375"/>
      <c r="C1228" s="375"/>
      <c r="D1228" s="375"/>
      <c r="E1228" s="375"/>
      <c r="F1228" s="375"/>
      <c r="G1228" s="375"/>
      <c r="H1228" s="375"/>
      <c r="I1228" s="375"/>
      <c r="J1228" s="375"/>
      <c r="K1228" s="375"/>
    </row>
    <row r="1229" spans="1:11" ht="12.75">
      <c r="A1229" s="375"/>
      <c r="B1229" s="375"/>
      <c r="C1229" s="375"/>
      <c r="D1229" s="375"/>
      <c r="E1229" s="375"/>
      <c r="F1229" s="375"/>
      <c r="G1229" s="375"/>
      <c r="H1229" s="375"/>
      <c r="I1229" s="375"/>
      <c r="J1229" s="375"/>
      <c r="K1229" s="375"/>
    </row>
    <row r="1230" spans="1:11" ht="12.75">
      <c r="A1230" s="375"/>
      <c r="B1230" s="375"/>
      <c r="C1230" s="375"/>
      <c r="D1230" s="375"/>
      <c r="E1230" s="375"/>
      <c r="F1230" s="375"/>
      <c r="G1230" s="375"/>
      <c r="H1230" s="375"/>
      <c r="I1230" s="375"/>
      <c r="J1230" s="375"/>
      <c r="K1230" s="375"/>
    </row>
    <row r="1231" spans="1:11" ht="12.75">
      <c r="A1231" s="375"/>
      <c r="B1231" s="375"/>
      <c r="C1231" s="375"/>
      <c r="D1231" s="375"/>
      <c r="E1231" s="375"/>
      <c r="F1231" s="375"/>
      <c r="G1231" s="375"/>
      <c r="H1231" s="375"/>
      <c r="I1231" s="375"/>
      <c r="J1231" s="375"/>
      <c r="K1231" s="375"/>
    </row>
    <row r="1232" spans="1:11" ht="12.75">
      <c r="A1232" s="375"/>
      <c r="B1232" s="375"/>
      <c r="C1232" s="375"/>
      <c r="D1232" s="375"/>
      <c r="E1232" s="375"/>
      <c r="F1232" s="375"/>
      <c r="G1232" s="375"/>
      <c r="H1232" s="375"/>
      <c r="I1232" s="375"/>
      <c r="J1232" s="375"/>
      <c r="K1232" s="375"/>
    </row>
    <row r="1233" spans="1:11" ht="12.75">
      <c r="A1233" s="375"/>
      <c r="B1233" s="375"/>
      <c r="C1233" s="375"/>
      <c r="D1233" s="375"/>
      <c r="E1233" s="375"/>
      <c r="F1233" s="375"/>
      <c r="G1233" s="375"/>
      <c r="H1233" s="375"/>
      <c r="I1233" s="375"/>
      <c r="J1233" s="375"/>
      <c r="K1233" s="375"/>
    </row>
    <row r="1234" spans="1:11" ht="12.75">
      <c r="A1234" s="375"/>
      <c r="B1234" s="375"/>
      <c r="C1234" s="375"/>
      <c r="D1234" s="375"/>
      <c r="E1234" s="375"/>
      <c r="F1234" s="375"/>
      <c r="G1234" s="375"/>
      <c r="H1234" s="375"/>
      <c r="I1234" s="375"/>
      <c r="J1234" s="375"/>
      <c r="K1234" s="375"/>
    </row>
    <row r="1235" spans="1:11" ht="12.75">
      <c r="A1235" s="375"/>
      <c r="B1235" s="375"/>
      <c r="C1235" s="375"/>
      <c r="D1235" s="375"/>
      <c r="E1235" s="375"/>
      <c r="F1235" s="375"/>
      <c r="G1235" s="375"/>
      <c r="H1235" s="375"/>
      <c r="I1235" s="375"/>
      <c r="J1235" s="375"/>
      <c r="K1235" s="375"/>
    </row>
    <row r="1236" spans="1:11" ht="12.75">
      <c r="A1236" s="375"/>
      <c r="B1236" s="375"/>
      <c r="C1236" s="375"/>
      <c r="D1236" s="375"/>
      <c r="E1236" s="375"/>
      <c r="F1236" s="375"/>
      <c r="G1236" s="375"/>
      <c r="H1236" s="375"/>
      <c r="I1236" s="375"/>
      <c r="J1236" s="375"/>
      <c r="K1236" s="375"/>
    </row>
    <row r="1237" spans="1:11" ht="12.75">
      <c r="A1237" s="375"/>
      <c r="B1237" s="375"/>
      <c r="C1237" s="375"/>
      <c r="D1237" s="375"/>
      <c r="E1237" s="375"/>
      <c r="F1237" s="375"/>
      <c r="G1237" s="375"/>
      <c r="H1237" s="375"/>
      <c r="I1237" s="375"/>
      <c r="J1237" s="375"/>
      <c r="K1237" s="375"/>
    </row>
    <row r="1238" spans="1:11" ht="12.75">
      <c r="A1238" s="375"/>
      <c r="B1238" s="375"/>
      <c r="C1238" s="375"/>
      <c r="D1238" s="375"/>
      <c r="E1238" s="375"/>
      <c r="F1238" s="375"/>
      <c r="G1238" s="375"/>
      <c r="H1238" s="375"/>
      <c r="I1238" s="375"/>
      <c r="J1238" s="375"/>
      <c r="K1238" s="375"/>
    </row>
    <row r="1239" spans="1:11" ht="12.75">
      <c r="A1239" s="375"/>
      <c r="B1239" s="375"/>
      <c r="C1239" s="375"/>
      <c r="D1239" s="375"/>
      <c r="E1239" s="375"/>
      <c r="F1239" s="375"/>
      <c r="G1239" s="375"/>
      <c r="H1239" s="375"/>
      <c r="I1239" s="375"/>
      <c r="J1239" s="375"/>
      <c r="K1239" s="375"/>
    </row>
    <row r="1240" spans="1:11" ht="12.75">
      <c r="A1240" s="375"/>
      <c r="B1240" s="375"/>
      <c r="C1240" s="375"/>
      <c r="D1240" s="375"/>
      <c r="E1240" s="375"/>
      <c r="F1240" s="375"/>
      <c r="G1240" s="375"/>
      <c r="H1240" s="375"/>
      <c r="I1240" s="375"/>
      <c r="J1240" s="375"/>
      <c r="K1240" s="375"/>
    </row>
    <row r="1241" spans="1:11" ht="12.75">
      <c r="A1241" s="375"/>
      <c r="B1241" s="375"/>
      <c r="C1241" s="375"/>
      <c r="D1241" s="375"/>
      <c r="E1241" s="375"/>
      <c r="F1241" s="375"/>
      <c r="G1241" s="375"/>
      <c r="H1241" s="375"/>
      <c r="I1241" s="375"/>
      <c r="J1241" s="375"/>
      <c r="K1241" s="375"/>
    </row>
    <row r="1242" spans="1:11" ht="12.75">
      <c r="A1242" s="375"/>
      <c r="B1242" s="375"/>
      <c r="C1242" s="375"/>
      <c r="D1242" s="375"/>
      <c r="E1242" s="375"/>
      <c r="F1242" s="375"/>
      <c r="G1242" s="375"/>
      <c r="H1242" s="375"/>
      <c r="I1242" s="375"/>
      <c r="J1242" s="375"/>
      <c r="K1242" s="375"/>
    </row>
    <row r="1243" spans="1:11" ht="12.75">
      <c r="A1243" s="375"/>
      <c r="B1243" s="375"/>
      <c r="C1243" s="375"/>
      <c r="D1243" s="375"/>
      <c r="E1243" s="375"/>
      <c r="F1243" s="375"/>
      <c r="G1243" s="375"/>
      <c r="H1243" s="375"/>
      <c r="I1243" s="375"/>
      <c r="J1243" s="375"/>
      <c r="K1243" s="375"/>
    </row>
    <row r="1244" spans="1:11" ht="12.75">
      <c r="A1244" s="375"/>
      <c r="B1244" s="375"/>
      <c r="C1244" s="375"/>
      <c r="D1244" s="375"/>
      <c r="E1244" s="375"/>
      <c r="F1244" s="375"/>
      <c r="G1244" s="375"/>
      <c r="H1244" s="375"/>
      <c r="I1244" s="375"/>
      <c r="J1244" s="375"/>
      <c r="K1244" s="375"/>
    </row>
    <row r="1245" spans="1:11" ht="12.75">
      <c r="A1245" s="375"/>
      <c r="B1245" s="375"/>
      <c r="C1245" s="375"/>
      <c r="D1245" s="375"/>
      <c r="E1245" s="375"/>
      <c r="F1245" s="375"/>
      <c r="G1245" s="375"/>
      <c r="H1245" s="375"/>
      <c r="I1245" s="375"/>
      <c r="J1245" s="375"/>
      <c r="K1245" s="375"/>
    </row>
    <row r="1246" spans="1:11" ht="12.75">
      <c r="A1246" s="375"/>
      <c r="B1246" s="375"/>
      <c r="C1246" s="375"/>
      <c r="D1246" s="375"/>
      <c r="E1246" s="375"/>
      <c r="F1246" s="375"/>
      <c r="G1246" s="375"/>
      <c r="H1246" s="375"/>
      <c r="I1246" s="375"/>
      <c r="J1246" s="375"/>
      <c r="K1246" s="375"/>
    </row>
    <row r="1247" spans="1:11" ht="12.75">
      <c r="A1247" s="375"/>
      <c r="B1247" s="375"/>
      <c r="C1247" s="375"/>
      <c r="D1247" s="375"/>
      <c r="E1247" s="375"/>
      <c r="F1247" s="375"/>
      <c r="G1247" s="375"/>
      <c r="H1247" s="375"/>
      <c r="I1247" s="375"/>
      <c r="J1247" s="375"/>
      <c r="K1247" s="375"/>
    </row>
    <row r="1248" spans="1:11" ht="12.75">
      <c r="A1248" s="375"/>
      <c r="B1248" s="375"/>
      <c r="C1248" s="375"/>
      <c r="D1248" s="375"/>
      <c r="E1248" s="375"/>
      <c r="F1248" s="375"/>
      <c r="G1248" s="375"/>
      <c r="H1248" s="375"/>
      <c r="I1248" s="375"/>
      <c r="J1248" s="375"/>
      <c r="K1248" s="375"/>
    </row>
    <row r="1249" spans="1:11" ht="12.75">
      <c r="A1249" s="375"/>
      <c r="B1249" s="375"/>
      <c r="C1249" s="375"/>
      <c r="D1249" s="375"/>
      <c r="E1249" s="375"/>
      <c r="F1249" s="375"/>
      <c r="G1249" s="375"/>
      <c r="H1249" s="375"/>
      <c r="I1249" s="375"/>
      <c r="J1249" s="375"/>
      <c r="K1249" s="375"/>
    </row>
    <row r="1250" spans="1:11" ht="12.75">
      <c r="A1250" s="375"/>
      <c r="B1250" s="375"/>
      <c r="C1250" s="375"/>
      <c r="D1250" s="375"/>
      <c r="E1250" s="375"/>
      <c r="F1250" s="375"/>
      <c r="G1250" s="375"/>
      <c r="H1250" s="375"/>
      <c r="I1250" s="375"/>
      <c r="J1250" s="375"/>
      <c r="K1250" s="375"/>
    </row>
    <row r="1251" spans="1:11" ht="12.75">
      <c r="A1251" s="375"/>
      <c r="B1251" s="375"/>
      <c r="C1251" s="375"/>
      <c r="D1251" s="375"/>
      <c r="E1251" s="375"/>
      <c r="F1251" s="375"/>
      <c r="G1251" s="375"/>
      <c r="H1251" s="375"/>
      <c r="I1251" s="375"/>
      <c r="J1251" s="375"/>
      <c r="K1251" s="375"/>
    </row>
    <row r="1252" spans="1:11" ht="12.75">
      <c r="A1252" s="375"/>
      <c r="B1252" s="375"/>
      <c r="C1252" s="375"/>
      <c r="D1252" s="375"/>
      <c r="E1252" s="375"/>
      <c r="F1252" s="375"/>
      <c r="G1252" s="375"/>
      <c r="H1252" s="375"/>
      <c r="I1252" s="375"/>
      <c r="J1252" s="375"/>
      <c r="K1252" s="375"/>
    </row>
    <row r="1253" spans="1:11" ht="12.75">
      <c r="A1253" s="375"/>
      <c r="B1253" s="375"/>
      <c r="C1253" s="375"/>
      <c r="D1253" s="375"/>
      <c r="E1253" s="375"/>
      <c r="F1253" s="375"/>
      <c r="G1253" s="375"/>
      <c r="H1253" s="375"/>
      <c r="I1253" s="375"/>
      <c r="J1253" s="375"/>
      <c r="K1253" s="375"/>
    </row>
    <row r="1254" spans="1:11" ht="12.75">
      <c r="A1254" s="375"/>
      <c r="B1254" s="375"/>
      <c r="C1254" s="375"/>
      <c r="D1254" s="375"/>
      <c r="E1254" s="375"/>
      <c r="F1254" s="375"/>
      <c r="G1254" s="375"/>
      <c r="H1254" s="375"/>
      <c r="I1254" s="375"/>
      <c r="J1254" s="375"/>
      <c r="K1254" s="375"/>
    </row>
    <row r="1255" spans="1:11" ht="12.75">
      <c r="A1255" s="375"/>
      <c r="B1255" s="375"/>
      <c r="C1255" s="375"/>
      <c r="D1255" s="375"/>
      <c r="E1255" s="375"/>
      <c r="F1255" s="375"/>
      <c r="G1255" s="375"/>
      <c r="H1255" s="375"/>
      <c r="I1255" s="375"/>
      <c r="J1255" s="375"/>
      <c r="K1255" s="375"/>
    </row>
    <row r="1256" spans="1:11" ht="12.75">
      <c r="A1256" s="375"/>
      <c r="B1256" s="375"/>
      <c r="C1256" s="375"/>
      <c r="D1256" s="375"/>
      <c r="E1256" s="375"/>
      <c r="F1256" s="375"/>
      <c r="G1256" s="375"/>
      <c r="H1256" s="375"/>
      <c r="I1256" s="375"/>
      <c r="J1256" s="375"/>
      <c r="K1256" s="375"/>
    </row>
    <row r="1257" spans="1:11" ht="12.75">
      <c r="A1257" s="375"/>
      <c r="B1257" s="375"/>
      <c r="C1257" s="375"/>
      <c r="D1257" s="375"/>
      <c r="E1257" s="375"/>
      <c r="F1257" s="375"/>
      <c r="G1257" s="375"/>
      <c r="H1257" s="375"/>
      <c r="I1257" s="375"/>
      <c r="J1257" s="375"/>
      <c r="K1257" s="375"/>
    </row>
    <row r="1258" spans="1:11" ht="12.75">
      <c r="A1258" s="375"/>
      <c r="B1258" s="375"/>
      <c r="C1258" s="375"/>
      <c r="D1258" s="375"/>
      <c r="E1258" s="375"/>
      <c r="F1258" s="375"/>
      <c r="G1258" s="375"/>
      <c r="H1258" s="375"/>
      <c r="I1258" s="375"/>
      <c r="J1258" s="375"/>
      <c r="K1258" s="375"/>
    </row>
    <row r="1259" spans="1:11" ht="12.75">
      <c r="A1259" s="375"/>
      <c r="B1259" s="375"/>
      <c r="C1259" s="375"/>
      <c r="D1259" s="375"/>
      <c r="E1259" s="375"/>
      <c r="F1259" s="375"/>
      <c r="G1259" s="375"/>
      <c r="H1259" s="375"/>
      <c r="I1259" s="375"/>
      <c r="J1259" s="375"/>
      <c r="K1259" s="375"/>
    </row>
    <row r="1260" spans="1:11" ht="12.75">
      <c r="A1260" s="375"/>
      <c r="B1260" s="375"/>
      <c r="C1260" s="375"/>
      <c r="D1260" s="375"/>
      <c r="E1260" s="375"/>
      <c r="F1260" s="375"/>
      <c r="G1260" s="375"/>
      <c r="H1260" s="375"/>
      <c r="I1260" s="375"/>
      <c r="J1260" s="375"/>
      <c r="K1260" s="375"/>
    </row>
    <row r="1261" spans="1:11" ht="12.75">
      <c r="A1261" s="375"/>
      <c r="B1261" s="375"/>
      <c r="C1261" s="375"/>
      <c r="D1261" s="375"/>
      <c r="E1261" s="375"/>
      <c r="F1261" s="375"/>
      <c r="G1261" s="375"/>
      <c r="H1261" s="375"/>
      <c r="I1261" s="375"/>
      <c r="J1261" s="375"/>
      <c r="K1261" s="375"/>
    </row>
    <row r="1262" spans="1:11" ht="12.75">
      <c r="A1262" s="375"/>
      <c r="B1262" s="375"/>
      <c r="C1262" s="375"/>
      <c r="D1262" s="375"/>
      <c r="E1262" s="375"/>
      <c r="F1262" s="375"/>
      <c r="G1262" s="375"/>
      <c r="H1262" s="375"/>
      <c r="I1262" s="375"/>
      <c r="J1262" s="375"/>
      <c r="K1262" s="375"/>
    </row>
    <row r="1263" spans="1:11" ht="12.75">
      <c r="A1263" s="375"/>
      <c r="B1263" s="375"/>
      <c r="C1263" s="375"/>
      <c r="D1263" s="375"/>
      <c r="E1263" s="375"/>
      <c r="F1263" s="375"/>
      <c r="G1263" s="375"/>
      <c r="H1263" s="375"/>
      <c r="I1263" s="375"/>
      <c r="J1263" s="375"/>
      <c r="K1263" s="375"/>
    </row>
    <row r="1264" spans="1:11" ht="12.75">
      <c r="A1264" s="375"/>
      <c r="B1264" s="375"/>
      <c r="C1264" s="375"/>
      <c r="D1264" s="375"/>
      <c r="E1264" s="375"/>
      <c r="F1264" s="375"/>
      <c r="G1264" s="375"/>
      <c r="H1264" s="375"/>
      <c r="I1264" s="375"/>
      <c r="J1264" s="375"/>
      <c r="K1264" s="375"/>
    </row>
    <row r="1265" spans="1:11" ht="12.75">
      <c r="A1265" s="375"/>
      <c r="B1265" s="375"/>
      <c r="C1265" s="375"/>
      <c r="D1265" s="375"/>
      <c r="E1265" s="375"/>
      <c r="F1265" s="375"/>
      <c r="G1265" s="375"/>
      <c r="H1265" s="375"/>
      <c r="I1265" s="375"/>
      <c r="J1265" s="375"/>
      <c r="K1265" s="375"/>
    </row>
    <row r="1266" spans="1:11" ht="12.75">
      <c r="A1266" s="375"/>
      <c r="B1266" s="375"/>
      <c r="C1266" s="375"/>
      <c r="D1266" s="375"/>
      <c r="E1266" s="375"/>
      <c r="F1266" s="375"/>
      <c r="G1266" s="375"/>
      <c r="H1266" s="375"/>
      <c r="I1266" s="375"/>
      <c r="J1266" s="375"/>
      <c r="K1266" s="375"/>
    </row>
    <row r="1267" spans="1:11" ht="12.75">
      <c r="A1267" s="375"/>
      <c r="B1267" s="375"/>
      <c r="C1267" s="375"/>
      <c r="D1267" s="375"/>
      <c r="E1267" s="375"/>
      <c r="F1267" s="375"/>
      <c r="G1267" s="375"/>
      <c r="H1267" s="375"/>
      <c r="I1267" s="375"/>
      <c r="J1267" s="375"/>
      <c r="K1267" s="375"/>
    </row>
    <row r="1268" spans="1:11" ht="12.75">
      <c r="A1268" s="375"/>
      <c r="B1268" s="375"/>
      <c r="C1268" s="375"/>
      <c r="D1268" s="375"/>
      <c r="E1268" s="375"/>
      <c r="F1268" s="375"/>
      <c r="G1268" s="375"/>
      <c r="H1268" s="375"/>
      <c r="I1268" s="375"/>
      <c r="J1268" s="375"/>
      <c r="K1268" s="375"/>
    </row>
    <row r="1269" spans="1:11" ht="12.75">
      <c r="A1269" s="375"/>
      <c r="B1269" s="375"/>
      <c r="C1269" s="375"/>
      <c r="D1269" s="375"/>
      <c r="E1269" s="375"/>
      <c r="F1269" s="375"/>
      <c r="G1269" s="375"/>
      <c r="H1269" s="375"/>
      <c r="I1269" s="375"/>
      <c r="J1269" s="375"/>
      <c r="K1269" s="375"/>
    </row>
    <row r="1270" spans="1:11" ht="12.75">
      <c r="A1270" s="375"/>
      <c r="B1270" s="375"/>
      <c r="C1270" s="375"/>
      <c r="D1270" s="375"/>
      <c r="E1270" s="375"/>
      <c r="F1270" s="375"/>
      <c r="G1270" s="375"/>
      <c r="H1270" s="375"/>
      <c r="I1270" s="375"/>
      <c r="J1270" s="375"/>
      <c r="K1270" s="375"/>
    </row>
    <row r="1271" spans="1:11" ht="12.75">
      <c r="A1271" s="375"/>
      <c r="B1271" s="375"/>
      <c r="C1271" s="375"/>
      <c r="D1271" s="375"/>
      <c r="E1271" s="375"/>
      <c r="F1271" s="375"/>
      <c r="G1271" s="375"/>
      <c r="H1271" s="375"/>
      <c r="I1271" s="375"/>
      <c r="J1271" s="375"/>
      <c r="K1271" s="375"/>
    </row>
    <row r="1272" spans="1:11" ht="12.75">
      <c r="A1272" s="375"/>
      <c r="B1272" s="375"/>
      <c r="C1272" s="375"/>
      <c r="D1272" s="375"/>
      <c r="E1272" s="375"/>
      <c r="F1272" s="375"/>
      <c r="G1272" s="375"/>
      <c r="H1272" s="375"/>
      <c r="I1272" s="375"/>
      <c r="J1272" s="375"/>
      <c r="K1272" s="375"/>
    </row>
    <row r="1273" spans="1:11" ht="12.75">
      <c r="A1273" s="375"/>
      <c r="B1273" s="375"/>
      <c r="C1273" s="375"/>
      <c r="D1273" s="375"/>
      <c r="E1273" s="375"/>
      <c r="F1273" s="375"/>
      <c r="G1273" s="375"/>
      <c r="H1273" s="375"/>
      <c r="I1273" s="375"/>
      <c r="J1273" s="375"/>
      <c r="K1273" s="375"/>
    </row>
    <row r="1274" spans="1:11" ht="12.75">
      <c r="A1274" s="375"/>
      <c r="B1274" s="375"/>
      <c r="C1274" s="375"/>
      <c r="D1274" s="375"/>
      <c r="E1274" s="375"/>
      <c r="F1274" s="375"/>
      <c r="G1274" s="375"/>
      <c r="H1274" s="375"/>
      <c r="I1274" s="375"/>
      <c r="J1274" s="375"/>
      <c r="K1274" s="375"/>
    </row>
    <row r="1275" spans="1:11" ht="12.75">
      <c r="A1275" s="375"/>
      <c r="B1275" s="375"/>
      <c r="C1275" s="375"/>
      <c r="D1275" s="375"/>
      <c r="E1275" s="375"/>
      <c r="F1275" s="375"/>
      <c r="G1275" s="375"/>
      <c r="H1275" s="375"/>
      <c r="I1275" s="375"/>
      <c r="J1275" s="375"/>
      <c r="K1275" s="375"/>
    </row>
    <row r="1276" spans="1:11" ht="12.75">
      <c r="A1276" s="375"/>
      <c r="B1276" s="375"/>
      <c r="C1276" s="375"/>
      <c r="D1276" s="375"/>
      <c r="E1276" s="375"/>
      <c r="F1276" s="375"/>
      <c r="G1276" s="375"/>
      <c r="H1276" s="375"/>
      <c r="I1276" s="375"/>
      <c r="J1276" s="375"/>
      <c r="K1276" s="375"/>
    </row>
    <row r="1277" spans="1:11" ht="12.75">
      <c r="A1277" s="375"/>
      <c r="B1277" s="375"/>
      <c r="C1277" s="375"/>
      <c r="D1277" s="375"/>
      <c r="E1277" s="375"/>
      <c r="F1277" s="375"/>
      <c r="G1277" s="375"/>
      <c r="H1277" s="375"/>
      <c r="I1277" s="375"/>
      <c r="J1277" s="375"/>
      <c r="K1277" s="375"/>
    </row>
    <row r="1278" spans="1:11" ht="12.75">
      <c r="A1278" s="375"/>
      <c r="B1278" s="375"/>
      <c r="C1278" s="375"/>
      <c r="D1278" s="375"/>
      <c r="E1278" s="375"/>
      <c r="F1278" s="375"/>
      <c r="G1278" s="375"/>
      <c r="H1278" s="375"/>
      <c r="I1278" s="375"/>
      <c r="J1278" s="375"/>
      <c r="K1278" s="375"/>
    </row>
    <row r="1279" spans="1:11" ht="12.75">
      <c r="A1279" s="375"/>
      <c r="B1279" s="375"/>
      <c r="C1279" s="375"/>
      <c r="D1279" s="375"/>
      <c r="E1279" s="375"/>
      <c r="F1279" s="375"/>
      <c r="G1279" s="375"/>
      <c r="H1279" s="375"/>
      <c r="I1279" s="375"/>
      <c r="J1279" s="375"/>
      <c r="K1279" s="375"/>
    </row>
    <row r="1280" spans="1:11" ht="12.75">
      <c r="A1280" s="375"/>
      <c r="B1280" s="375"/>
      <c r="C1280" s="375"/>
      <c r="D1280" s="375"/>
      <c r="E1280" s="375"/>
      <c r="F1280" s="375"/>
      <c r="G1280" s="375"/>
      <c r="H1280" s="375"/>
      <c r="I1280" s="375"/>
      <c r="J1280" s="375"/>
      <c r="K1280" s="375"/>
    </row>
    <row r="1281" spans="1:11" ht="12.75">
      <c r="A1281" s="375"/>
      <c r="B1281" s="375"/>
      <c r="C1281" s="375"/>
      <c r="D1281" s="375"/>
      <c r="E1281" s="375"/>
      <c r="F1281" s="375"/>
      <c r="G1281" s="375"/>
      <c r="H1281" s="375"/>
      <c r="I1281" s="375"/>
      <c r="J1281" s="375"/>
      <c r="K1281" s="375"/>
    </row>
    <row r="1282" spans="1:11" ht="12.75">
      <c r="A1282" s="375"/>
      <c r="B1282" s="375"/>
      <c r="C1282" s="375"/>
      <c r="D1282" s="375"/>
      <c r="E1282" s="375"/>
      <c r="F1282" s="375"/>
      <c r="G1282" s="375"/>
      <c r="H1282" s="375"/>
      <c r="I1282" s="375"/>
      <c r="J1282" s="375"/>
      <c r="K1282" s="375"/>
    </row>
    <row r="1283" spans="1:11" ht="12.75">
      <c r="A1283" s="375"/>
      <c r="B1283" s="375"/>
      <c r="C1283" s="375"/>
      <c r="D1283" s="375"/>
      <c r="E1283" s="375"/>
      <c r="F1283" s="375"/>
      <c r="G1283" s="375"/>
      <c r="H1283" s="375"/>
      <c r="I1283" s="375"/>
      <c r="J1283" s="375"/>
      <c r="K1283" s="375"/>
    </row>
    <row r="1284" spans="1:11" ht="12.75">
      <c r="A1284" s="375"/>
      <c r="B1284" s="375"/>
      <c r="C1284" s="375"/>
      <c r="D1284" s="375"/>
      <c r="E1284" s="375"/>
      <c r="F1284" s="375"/>
      <c r="G1284" s="375"/>
      <c r="H1284" s="375"/>
      <c r="I1284" s="375"/>
      <c r="J1284" s="375"/>
      <c r="K1284" s="375"/>
    </row>
    <row r="1285" spans="1:11" ht="12.75">
      <c r="A1285" s="375"/>
      <c r="B1285" s="375"/>
      <c r="C1285" s="375"/>
      <c r="D1285" s="375"/>
      <c r="E1285" s="375"/>
      <c r="F1285" s="375"/>
      <c r="G1285" s="375"/>
      <c r="H1285" s="375"/>
      <c r="I1285" s="375"/>
      <c r="J1285" s="375"/>
      <c r="K1285" s="375"/>
    </row>
    <row r="1286" spans="1:11" ht="12.75">
      <c r="A1286" s="375"/>
      <c r="B1286" s="375"/>
      <c r="C1286" s="375"/>
      <c r="D1286" s="375"/>
      <c r="E1286" s="375"/>
      <c r="F1286" s="375"/>
      <c r="G1286" s="375"/>
      <c r="H1286" s="375"/>
      <c r="I1286" s="375"/>
      <c r="J1286" s="375"/>
      <c r="K1286" s="375"/>
    </row>
    <row r="1287" spans="1:11" ht="12.75">
      <c r="A1287" s="375"/>
      <c r="B1287" s="375"/>
      <c r="C1287" s="375"/>
      <c r="D1287" s="375"/>
      <c r="E1287" s="375"/>
      <c r="F1287" s="375"/>
      <c r="G1287" s="375"/>
      <c r="H1287" s="375"/>
      <c r="I1287" s="375"/>
      <c r="J1287" s="375"/>
      <c r="K1287" s="375"/>
    </row>
    <row r="1288" spans="1:11" ht="12.75">
      <c r="A1288" s="375"/>
      <c r="B1288" s="375"/>
      <c r="C1288" s="375"/>
      <c r="D1288" s="375"/>
      <c r="E1288" s="375"/>
      <c r="F1288" s="375"/>
      <c r="G1288" s="375"/>
      <c r="H1288" s="375"/>
      <c r="I1288" s="375"/>
      <c r="J1288" s="375"/>
      <c r="K1288" s="375"/>
    </row>
    <row r="1289" spans="1:11" ht="12.75">
      <c r="A1289" s="375"/>
      <c r="B1289" s="375"/>
      <c r="C1289" s="375"/>
      <c r="D1289" s="375"/>
      <c r="E1289" s="375"/>
      <c r="F1289" s="375"/>
      <c r="G1289" s="375"/>
      <c r="H1289" s="375"/>
      <c r="I1289" s="375"/>
      <c r="J1289" s="375"/>
      <c r="K1289" s="375"/>
    </row>
    <row r="1290" spans="1:11" ht="12.75">
      <c r="A1290" s="375"/>
      <c r="B1290" s="375"/>
      <c r="C1290" s="375"/>
      <c r="D1290" s="375"/>
      <c r="E1290" s="375"/>
      <c r="F1290" s="375"/>
      <c r="G1290" s="375"/>
      <c r="H1290" s="375"/>
      <c r="I1290" s="375"/>
      <c r="J1290" s="375"/>
      <c r="K1290" s="375"/>
    </row>
    <row r="1291" spans="1:11" ht="12.75">
      <c r="A1291" s="375"/>
      <c r="B1291" s="375"/>
      <c r="C1291" s="375"/>
      <c r="D1291" s="375"/>
      <c r="E1291" s="375"/>
      <c r="F1291" s="375"/>
      <c r="G1291" s="375"/>
      <c r="H1291" s="375"/>
      <c r="I1291" s="375"/>
      <c r="J1291" s="375"/>
      <c r="K1291" s="375"/>
    </row>
    <row r="1292" spans="1:11" ht="12.75">
      <c r="A1292" s="375"/>
      <c r="B1292" s="375"/>
      <c r="C1292" s="375"/>
      <c r="D1292" s="375"/>
      <c r="E1292" s="375"/>
      <c r="F1292" s="375"/>
      <c r="G1292" s="375"/>
      <c r="H1292" s="375"/>
      <c r="I1292" s="375"/>
      <c r="J1292" s="375"/>
      <c r="K1292" s="375"/>
    </row>
    <row r="1293" spans="1:11" ht="12.75">
      <c r="A1293" s="375"/>
      <c r="B1293" s="375"/>
      <c r="C1293" s="375"/>
      <c r="D1293" s="375"/>
      <c r="E1293" s="375"/>
      <c r="F1293" s="375"/>
      <c r="G1293" s="375"/>
      <c r="H1293" s="375"/>
      <c r="I1293" s="375"/>
      <c r="J1293" s="375"/>
      <c r="K1293" s="375"/>
    </row>
    <row r="1294" spans="1:11" ht="12.75">
      <c r="A1294" s="375"/>
      <c r="B1294" s="375"/>
      <c r="C1294" s="375"/>
      <c r="D1294" s="375"/>
      <c r="E1294" s="375"/>
      <c r="F1294" s="375"/>
      <c r="G1294" s="375"/>
      <c r="H1294" s="375"/>
      <c r="I1294" s="375"/>
      <c r="J1294" s="375"/>
      <c r="K1294" s="375"/>
    </row>
    <row r="1295" spans="1:11" ht="12.75">
      <c r="A1295" s="375"/>
      <c r="B1295" s="375"/>
      <c r="C1295" s="375"/>
      <c r="D1295" s="375"/>
      <c r="E1295" s="375"/>
      <c r="F1295" s="375"/>
      <c r="G1295" s="375"/>
      <c r="H1295" s="375"/>
      <c r="I1295" s="375"/>
      <c r="J1295" s="375"/>
      <c r="K1295" s="375"/>
    </row>
    <row r="1296" spans="1:11" ht="12.75">
      <c r="A1296" s="375"/>
      <c r="B1296" s="375"/>
      <c r="C1296" s="375"/>
      <c r="D1296" s="375"/>
      <c r="E1296" s="375"/>
      <c r="F1296" s="375"/>
      <c r="G1296" s="375"/>
      <c r="H1296" s="375"/>
      <c r="I1296" s="375"/>
      <c r="J1296" s="375"/>
      <c r="K1296" s="375"/>
    </row>
    <row r="1297" spans="1:11" ht="12.75">
      <c r="A1297" s="375"/>
      <c r="B1297" s="375"/>
      <c r="C1297" s="375"/>
      <c r="D1297" s="375"/>
      <c r="E1297" s="375"/>
      <c r="F1297" s="375"/>
      <c r="G1297" s="375"/>
      <c r="H1297" s="375"/>
      <c r="I1297" s="375"/>
      <c r="J1297" s="375"/>
      <c r="K1297" s="375"/>
    </row>
    <row r="1298" spans="1:11" ht="12.75">
      <c r="A1298" s="375"/>
      <c r="B1298" s="375"/>
      <c r="C1298" s="375"/>
      <c r="D1298" s="375"/>
      <c r="E1298" s="375"/>
      <c r="F1298" s="375"/>
      <c r="G1298" s="375"/>
      <c r="H1298" s="375"/>
      <c r="I1298" s="375"/>
      <c r="J1298" s="375"/>
      <c r="K1298" s="375"/>
    </row>
    <row r="1299" spans="1:11" ht="12.75">
      <c r="A1299" s="375"/>
      <c r="B1299" s="375"/>
      <c r="C1299" s="375"/>
      <c r="D1299" s="375"/>
      <c r="E1299" s="375"/>
      <c r="F1299" s="375"/>
      <c r="G1299" s="375"/>
      <c r="H1299" s="375"/>
      <c r="I1299" s="375"/>
      <c r="J1299" s="375"/>
      <c r="K1299" s="375"/>
    </row>
    <row r="1300" spans="1:11" ht="12.75">
      <c r="A1300" s="375"/>
      <c r="B1300" s="375"/>
      <c r="C1300" s="375"/>
      <c r="D1300" s="375"/>
      <c r="E1300" s="375"/>
      <c r="F1300" s="375"/>
      <c r="G1300" s="375"/>
      <c r="H1300" s="375"/>
      <c r="I1300" s="375"/>
      <c r="J1300" s="375"/>
      <c r="K1300" s="375"/>
    </row>
    <row r="1301" spans="1:11" ht="12.75">
      <c r="A1301" s="375"/>
      <c r="B1301" s="375"/>
      <c r="C1301" s="375"/>
      <c r="D1301" s="375"/>
      <c r="E1301" s="375"/>
      <c r="F1301" s="375"/>
      <c r="G1301" s="375"/>
      <c r="H1301" s="375"/>
      <c r="I1301" s="375"/>
      <c r="J1301" s="375"/>
      <c r="K1301" s="375"/>
    </row>
    <row r="1302" spans="1:11" ht="12.75">
      <c r="A1302" s="375"/>
      <c r="B1302" s="375"/>
      <c r="C1302" s="375"/>
      <c r="D1302" s="375"/>
      <c r="E1302" s="375"/>
      <c r="F1302" s="375"/>
      <c r="G1302" s="375"/>
      <c r="H1302" s="375"/>
      <c r="I1302" s="375"/>
      <c r="J1302" s="375"/>
      <c r="K1302" s="375"/>
    </row>
    <row r="1303" spans="1:11" ht="12.75">
      <c r="A1303" s="375"/>
      <c r="B1303" s="375"/>
      <c r="C1303" s="375"/>
      <c r="D1303" s="375"/>
      <c r="E1303" s="375"/>
      <c r="F1303" s="375"/>
      <c r="G1303" s="375"/>
      <c r="H1303" s="375"/>
      <c r="I1303" s="375"/>
      <c r="J1303" s="375"/>
      <c r="K1303" s="375"/>
    </row>
    <row r="1304" spans="1:11" ht="12.75">
      <c r="A1304" s="375"/>
      <c r="B1304" s="375"/>
      <c r="C1304" s="375"/>
      <c r="D1304" s="375"/>
      <c r="E1304" s="375"/>
      <c r="F1304" s="375"/>
      <c r="G1304" s="375"/>
      <c r="H1304" s="375"/>
      <c r="I1304" s="375"/>
      <c r="J1304" s="375"/>
      <c r="K1304" s="375"/>
    </row>
    <row r="1305" spans="1:11" ht="12.75">
      <c r="A1305" s="375"/>
      <c r="B1305" s="375"/>
      <c r="C1305" s="375"/>
      <c r="D1305" s="375"/>
      <c r="E1305" s="375"/>
      <c r="F1305" s="375"/>
      <c r="G1305" s="375"/>
      <c r="H1305" s="375"/>
      <c r="I1305" s="375"/>
      <c r="J1305" s="375"/>
      <c r="K1305" s="375"/>
    </row>
    <row r="1306" spans="1:11" ht="12.75">
      <c r="A1306" s="375"/>
      <c r="B1306" s="375"/>
      <c r="C1306" s="375"/>
      <c r="D1306" s="375"/>
      <c r="E1306" s="375"/>
      <c r="F1306" s="375"/>
      <c r="G1306" s="375"/>
      <c r="H1306" s="375"/>
      <c r="I1306" s="375"/>
      <c r="J1306" s="375"/>
      <c r="K1306" s="375"/>
    </row>
    <row r="1307" spans="1:11" ht="12.75">
      <c r="A1307" s="375"/>
      <c r="B1307" s="375"/>
      <c r="C1307" s="375"/>
      <c r="D1307" s="375"/>
      <c r="E1307" s="375"/>
      <c r="F1307" s="375"/>
      <c r="G1307" s="375"/>
      <c r="H1307" s="375"/>
      <c r="I1307" s="375"/>
      <c r="J1307" s="375"/>
      <c r="K1307" s="375"/>
    </row>
    <row r="1308" spans="1:11" ht="12.75">
      <c r="A1308" s="375"/>
      <c r="B1308" s="375"/>
      <c r="C1308" s="375"/>
      <c r="D1308" s="375"/>
      <c r="E1308" s="375"/>
      <c r="F1308" s="375"/>
      <c r="G1308" s="375"/>
      <c r="H1308" s="375"/>
      <c r="I1308" s="375"/>
      <c r="J1308" s="375"/>
      <c r="K1308" s="375"/>
    </row>
    <row r="1309" spans="1:11" ht="12.75">
      <c r="A1309" s="375"/>
      <c r="B1309" s="375"/>
      <c r="C1309" s="375"/>
      <c r="D1309" s="375"/>
      <c r="E1309" s="375"/>
      <c r="F1309" s="375"/>
      <c r="G1309" s="375"/>
      <c r="H1309" s="375"/>
      <c r="I1309" s="375"/>
      <c r="J1309" s="375"/>
      <c r="K1309" s="375"/>
    </row>
    <row r="1310" spans="1:11" ht="12.75">
      <c r="A1310" s="375"/>
      <c r="B1310" s="375"/>
      <c r="C1310" s="375"/>
      <c r="D1310" s="375"/>
      <c r="E1310" s="375"/>
      <c r="F1310" s="375"/>
      <c r="G1310" s="375"/>
      <c r="H1310" s="375"/>
      <c r="I1310" s="375"/>
      <c r="J1310" s="375"/>
      <c r="K1310" s="375"/>
    </row>
    <row r="1311" spans="1:11" ht="12.75">
      <c r="A1311" s="375"/>
      <c r="B1311" s="375"/>
      <c r="C1311" s="375"/>
      <c r="D1311" s="375"/>
      <c r="E1311" s="375"/>
      <c r="F1311" s="375"/>
      <c r="G1311" s="375"/>
      <c r="H1311" s="375"/>
      <c r="I1311" s="375"/>
      <c r="J1311" s="375"/>
      <c r="K1311" s="375"/>
    </row>
    <row r="1312" spans="1:11" ht="12.75">
      <c r="A1312" s="375"/>
      <c r="B1312" s="375"/>
      <c r="C1312" s="375"/>
      <c r="D1312" s="375"/>
      <c r="E1312" s="375"/>
      <c r="F1312" s="375"/>
      <c r="G1312" s="375"/>
      <c r="H1312" s="375"/>
      <c r="I1312" s="375"/>
      <c r="J1312" s="375"/>
      <c r="K1312" s="375"/>
    </row>
    <row r="1313" spans="1:11" ht="12.75">
      <c r="A1313" s="375"/>
      <c r="B1313" s="375"/>
      <c r="C1313" s="375"/>
      <c r="D1313" s="375"/>
      <c r="E1313" s="375"/>
      <c r="F1313" s="375"/>
      <c r="G1313" s="375"/>
      <c r="H1313" s="375"/>
      <c r="I1313" s="375"/>
      <c r="J1313" s="375"/>
      <c r="K1313" s="375"/>
    </row>
    <row r="1314" spans="1:11" ht="12.75">
      <c r="A1314" s="375"/>
      <c r="B1314" s="375"/>
      <c r="C1314" s="375"/>
      <c r="D1314" s="375"/>
      <c r="E1314" s="375"/>
      <c r="F1314" s="375"/>
      <c r="G1314" s="375"/>
      <c r="H1314" s="375"/>
      <c r="I1314" s="375"/>
      <c r="J1314" s="375"/>
      <c r="K1314" s="375"/>
    </row>
    <row r="1315" spans="1:11" ht="12.75">
      <c r="A1315" s="375"/>
      <c r="B1315" s="375"/>
      <c r="C1315" s="375"/>
      <c r="D1315" s="375"/>
      <c r="E1315" s="375"/>
      <c r="F1315" s="375"/>
      <c r="G1315" s="375"/>
      <c r="H1315" s="375"/>
      <c r="I1315" s="375"/>
      <c r="J1315" s="375"/>
      <c r="K1315" s="375"/>
    </row>
    <row r="1316" spans="1:11" ht="12.75">
      <c r="A1316" s="375"/>
      <c r="B1316" s="375"/>
      <c r="C1316" s="375"/>
      <c r="D1316" s="375"/>
      <c r="E1316" s="375"/>
      <c r="F1316" s="375"/>
      <c r="G1316" s="375"/>
      <c r="H1316" s="375"/>
      <c r="I1316" s="375"/>
      <c r="J1316" s="375"/>
      <c r="K1316" s="375"/>
    </row>
    <row r="1317" spans="1:11" ht="12.75">
      <c r="A1317" s="375"/>
      <c r="B1317" s="375"/>
      <c r="C1317" s="375"/>
      <c r="D1317" s="375"/>
      <c r="E1317" s="375"/>
      <c r="F1317" s="375"/>
      <c r="G1317" s="375"/>
      <c r="H1317" s="375"/>
      <c r="I1317" s="375"/>
      <c r="J1317" s="375"/>
      <c r="K1317" s="375"/>
    </row>
    <row r="1318" spans="1:11" ht="12.75">
      <c r="A1318" s="375"/>
      <c r="B1318" s="375"/>
      <c r="C1318" s="375"/>
      <c r="D1318" s="375"/>
      <c r="E1318" s="375"/>
      <c r="F1318" s="375"/>
      <c r="G1318" s="375"/>
      <c r="H1318" s="375"/>
      <c r="I1318" s="375"/>
      <c r="J1318" s="375"/>
      <c r="K1318" s="375"/>
    </row>
    <row r="1319" spans="1:11" ht="12.75">
      <c r="A1319" s="375"/>
      <c r="B1319" s="375"/>
      <c r="C1319" s="375"/>
      <c r="D1319" s="375"/>
      <c r="E1319" s="375"/>
      <c r="F1319" s="375"/>
      <c r="G1319" s="375"/>
      <c r="H1319" s="375"/>
      <c r="I1319" s="375"/>
      <c r="J1319" s="375"/>
      <c r="K1319" s="375"/>
    </row>
    <row r="1320" spans="1:11" ht="12.75">
      <c r="A1320" s="375"/>
      <c r="B1320" s="375"/>
      <c r="C1320" s="375"/>
      <c r="D1320" s="375"/>
      <c r="E1320" s="375"/>
      <c r="F1320" s="375"/>
      <c r="G1320" s="375"/>
      <c r="H1320" s="375"/>
      <c r="I1320" s="375"/>
      <c r="J1320" s="375"/>
      <c r="K1320" s="375"/>
    </row>
    <row r="1321" spans="1:11" ht="12.75">
      <c r="A1321" s="375"/>
      <c r="B1321" s="375"/>
      <c r="C1321" s="375"/>
      <c r="D1321" s="375"/>
      <c r="E1321" s="375"/>
      <c r="F1321" s="375"/>
      <c r="G1321" s="375"/>
      <c r="H1321" s="375"/>
      <c r="I1321" s="375"/>
      <c r="J1321" s="375"/>
      <c r="K1321" s="375"/>
    </row>
    <row r="1322" spans="1:11" ht="12.75">
      <c r="A1322" s="375"/>
      <c r="B1322" s="375"/>
      <c r="C1322" s="375"/>
      <c r="D1322" s="375"/>
      <c r="E1322" s="375"/>
      <c r="F1322" s="375"/>
      <c r="G1322" s="375"/>
      <c r="H1322" s="375"/>
      <c r="I1322" s="375"/>
      <c r="J1322" s="375"/>
      <c r="K1322" s="375"/>
    </row>
    <row r="1323" spans="1:11" ht="12.75">
      <c r="A1323" s="375"/>
      <c r="B1323" s="375"/>
      <c r="C1323" s="375"/>
      <c r="D1323" s="375"/>
      <c r="E1323" s="375"/>
      <c r="F1323" s="375"/>
      <c r="G1323" s="375"/>
      <c r="H1323" s="375"/>
      <c r="I1323" s="375"/>
      <c r="J1323" s="375"/>
      <c r="K1323" s="375"/>
    </row>
    <row r="1324" spans="1:11" ht="12.75">
      <c r="A1324" s="375"/>
      <c r="B1324" s="375"/>
      <c r="C1324" s="375"/>
      <c r="D1324" s="375"/>
      <c r="E1324" s="375"/>
      <c r="F1324" s="375"/>
      <c r="G1324" s="375"/>
      <c r="H1324" s="375"/>
      <c r="I1324" s="375"/>
      <c r="J1324" s="375"/>
      <c r="K1324" s="375"/>
    </row>
    <row r="1325" spans="1:11" ht="12.75">
      <c r="A1325" s="375"/>
      <c r="B1325" s="375"/>
      <c r="C1325" s="375"/>
      <c r="D1325" s="375"/>
      <c r="E1325" s="375"/>
      <c r="F1325" s="375"/>
      <c r="G1325" s="375"/>
      <c r="H1325" s="375"/>
      <c r="I1325" s="375"/>
      <c r="J1325" s="375"/>
      <c r="K1325" s="375"/>
    </row>
    <row r="1326" spans="1:11" ht="12.75">
      <c r="A1326" s="375"/>
      <c r="B1326" s="375"/>
      <c r="C1326" s="375"/>
      <c r="D1326" s="375"/>
      <c r="E1326" s="375"/>
      <c r="F1326" s="375"/>
      <c r="G1326" s="375"/>
      <c r="H1326" s="375"/>
      <c r="I1326" s="375"/>
      <c r="J1326" s="375"/>
      <c r="K1326" s="375"/>
    </row>
    <row r="1327" spans="1:11" ht="12.75">
      <c r="A1327" s="375"/>
      <c r="B1327" s="375"/>
      <c r="C1327" s="375"/>
      <c r="D1327" s="375"/>
      <c r="E1327" s="375"/>
      <c r="F1327" s="375"/>
      <c r="G1327" s="375"/>
      <c r="H1327" s="375"/>
      <c r="I1327" s="375"/>
      <c r="J1327" s="375"/>
      <c r="K1327" s="375"/>
    </row>
    <row r="1328" spans="1:11" ht="12.75">
      <c r="A1328" s="375"/>
      <c r="B1328" s="375"/>
      <c r="C1328" s="375"/>
      <c r="D1328" s="375"/>
      <c r="E1328" s="375"/>
      <c r="F1328" s="375"/>
      <c r="G1328" s="375"/>
      <c r="H1328" s="375"/>
      <c r="I1328" s="375"/>
      <c r="J1328" s="375"/>
      <c r="K1328" s="375"/>
    </row>
    <row r="1329" spans="1:11" ht="12.75">
      <c r="A1329" s="375"/>
      <c r="B1329" s="375"/>
      <c r="C1329" s="375"/>
      <c r="D1329" s="375"/>
      <c r="E1329" s="375"/>
      <c r="F1329" s="375"/>
      <c r="G1329" s="375"/>
      <c r="H1329" s="375"/>
      <c r="I1329" s="375"/>
      <c r="J1329" s="375"/>
      <c r="K1329" s="375"/>
    </row>
    <row r="1330" spans="1:11" ht="12.75">
      <c r="A1330" s="375"/>
      <c r="B1330" s="375"/>
      <c r="C1330" s="375"/>
      <c r="D1330" s="375"/>
      <c r="E1330" s="375"/>
      <c r="F1330" s="375"/>
      <c r="G1330" s="375"/>
      <c r="H1330" s="375"/>
      <c r="I1330" s="375"/>
      <c r="J1330" s="375"/>
      <c r="K1330" s="375"/>
    </row>
    <row r="1331" spans="1:11" ht="12.75">
      <c r="A1331" s="375"/>
      <c r="B1331" s="375"/>
      <c r="C1331" s="375"/>
      <c r="D1331" s="375"/>
      <c r="E1331" s="375"/>
      <c r="F1331" s="375"/>
      <c r="G1331" s="375"/>
      <c r="H1331" s="375"/>
      <c r="I1331" s="375"/>
      <c r="J1331" s="375"/>
      <c r="K1331" s="375"/>
    </row>
    <row r="1332" spans="1:11" ht="12.75">
      <c r="A1332" s="375"/>
      <c r="B1332" s="375"/>
      <c r="C1332" s="375"/>
      <c r="D1332" s="375"/>
      <c r="E1332" s="375"/>
      <c r="F1332" s="375"/>
      <c r="G1332" s="375"/>
      <c r="H1332" s="375"/>
      <c r="I1332" s="375"/>
      <c r="J1332" s="375"/>
      <c r="K1332" s="375"/>
    </row>
    <row r="1333" spans="1:11" ht="12.75">
      <c r="A1333" s="375"/>
      <c r="B1333" s="375"/>
      <c r="C1333" s="375"/>
      <c r="D1333" s="375"/>
      <c r="E1333" s="375"/>
      <c r="F1333" s="375"/>
      <c r="G1333" s="375"/>
      <c r="H1333" s="375"/>
      <c r="I1333" s="375"/>
      <c r="J1333" s="375"/>
      <c r="K1333" s="375"/>
    </row>
    <row r="1334" spans="1:11" ht="12.75">
      <c r="A1334" s="375"/>
      <c r="B1334" s="375"/>
      <c r="C1334" s="375"/>
      <c r="D1334" s="375"/>
      <c r="E1334" s="375"/>
      <c r="F1334" s="375"/>
      <c r="G1334" s="375"/>
      <c r="H1334" s="375"/>
      <c r="I1334" s="375"/>
      <c r="J1334" s="375"/>
      <c r="K1334" s="375"/>
    </row>
    <row r="1335" spans="1:11" ht="12.75">
      <c r="A1335" s="375"/>
      <c r="B1335" s="375"/>
      <c r="C1335" s="375"/>
      <c r="D1335" s="375"/>
      <c r="E1335" s="375"/>
      <c r="F1335" s="375"/>
      <c r="G1335" s="375"/>
      <c r="H1335" s="375"/>
      <c r="I1335" s="375"/>
      <c r="J1335" s="375"/>
      <c r="K1335" s="375"/>
    </row>
    <row r="1336" spans="1:11" ht="12.75">
      <c r="A1336" s="375"/>
      <c r="B1336" s="375"/>
      <c r="C1336" s="375"/>
      <c r="D1336" s="375"/>
      <c r="E1336" s="375"/>
      <c r="F1336" s="375"/>
      <c r="G1336" s="375"/>
      <c r="H1336" s="375"/>
      <c r="I1336" s="375"/>
      <c r="J1336" s="375"/>
      <c r="K1336" s="375"/>
    </row>
    <row r="1337" spans="1:11" ht="12.75">
      <c r="A1337" s="375"/>
      <c r="B1337" s="375"/>
      <c r="C1337" s="375"/>
      <c r="D1337" s="375"/>
      <c r="E1337" s="375"/>
      <c r="F1337" s="375"/>
      <c r="G1337" s="375"/>
      <c r="H1337" s="375"/>
      <c r="I1337" s="375"/>
      <c r="J1337" s="375"/>
      <c r="K1337" s="375"/>
    </row>
    <row r="1338" spans="1:11" ht="12.75">
      <c r="A1338" s="375"/>
      <c r="B1338" s="375"/>
      <c r="C1338" s="375"/>
      <c r="D1338" s="375"/>
      <c r="E1338" s="375"/>
      <c r="F1338" s="375"/>
      <c r="G1338" s="375"/>
      <c r="H1338" s="375"/>
      <c r="I1338" s="375"/>
      <c r="J1338" s="375"/>
      <c r="K1338" s="375"/>
    </row>
    <row r="1339" spans="1:11" ht="12.75">
      <c r="A1339" s="375"/>
      <c r="B1339" s="375"/>
      <c r="C1339" s="375"/>
      <c r="D1339" s="375"/>
      <c r="E1339" s="375"/>
      <c r="F1339" s="375"/>
      <c r="G1339" s="375"/>
      <c r="H1339" s="375"/>
      <c r="I1339" s="375"/>
      <c r="J1339" s="375"/>
      <c r="K1339" s="375"/>
    </row>
    <row r="1340" spans="1:11" ht="12.75">
      <c r="A1340" s="375"/>
      <c r="B1340" s="375"/>
      <c r="C1340" s="375"/>
      <c r="D1340" s="375"/>
      <c r="E1340" s="375"/>
      <c r="F1340" s="375"/>
      <c r="G1340" s="375"/>
      <c r="H1340" s="375"/>
      <c r="I1340" s="375"/>
      <c r="J1340" s="375"/>
      <c r="K1340" s="375"/>
    </row>
    <row r="1341" spans="1:11" ht="12.75">
      <c r="A1341" s="375"/>
      <c r="B1341" s="375"/>
      <c r="C1341" s="375"/>
      <c r="D1341" s="375"/>
      <c r="E1341" s="375"/>
      <c r="F1341" s="375"/>
      <c r="G1341" s="375"/>
      <c r="H1341" s="375"/>
      <c r="I1341" s="375"/>
      <c r="J1341" s="375"/>
      <c r="K1341" s="375"/>
    </row>
    <row r="1342" spans="1:11" ht="12.75">
      <c r="A1342" s="375"/>
      <c r="B1342" s="375"/>
      <c r="C1342" s="375"/>
      <c r="D1342" s="375"/>
      <c r="E1342" s="375"/>
      <c r="F1342" s="375"/>
      <c r="G1342" s="375"/>
      <c r="H1342" s="375"/>
      <c r="I1342" s="375"/>
      <c r="J1342" s="375"/>
      <c r="K1342" s="375"/>
    </row>
    <row r="1343" spans="1:11" ht="12.75">
      <c r="A1343" s="375"/>
      <c r="B1343" s="375"/>
      <c r="C1343" s="375"/>
      <c r="D1343" s="375"/>
      <c r="E1343" s="375"/>
      <c r="F1343" s="375"/>
      <c r="G1343" s="375"/>
      <c r="H1343" s="375"/>
      <c r="I1343" s="375"/>
      <c r="J1343" s="375"/>
      <c r="K1343" s="375"/>
    </row>
    <row r="1344" spans="1:11" ht="12.75">
      <c r="A1344" s="375"/>
      <c r="B1344" s="375"/>
      <c r="C1344" s="375"/>
      <c r="D1344" s="375"/>
      <c r="E1344" s="375"/>
      <c r="F1344" s="375"/>
      <c r="G1344" s="375"/>
      <c r="H1344" s="375"/>
      <c r="I1344" s="375"/>
      <c r="J1344" s="375"/>
      <c r="K1344" s="375"/>
    </row>
    <row r="1345" spans="1:11" ht="12.75">
      <c r="A1345" s="375"/>
      <c r="B1345" s="375"/>
      <c r="C1345" s="375"/>
      <c r="D1345" s="375"/>
      <c r="E1345" s="375"/>
      <c r="F1345" s="375"/>
      <c r="G1345" s="375"/>
      <c r="H1345" s="375"/>
      <c r="I1345" s="375"/>
      <c r="J1345" s="375"/>
      <c r="K1345" s="375"/>
    </row>
    <row r="1346" spans="1:11" ht="12.75">
      <c r="A1346" s="375"/>
      <c r="B1346" s="375"/>
      <c r="C1346" s="375"/>
      <c r="D1346" s="375"/>
      <c r="E1346" s="375"/>
      <c r="F1346" s="375"/>
      <c r="G1346" s="375"/>
      <c r="H1346" s="375"/>
      <c r="I1346" s="375"/>
      <c r="J1346" s="375"/>
      <c r="K1346" s="375"/>
    </row>
    <row r="1347" spans="1:11" ht="12.75">
      <c r="A1347" s="375"/>
      <c r="B1347" s="375"/>
      <c r="C1347" s="375"/>
      <c r="D1347" s="375"/>
      <c r="E1347" s="375"/>
      <c r="F1347" s="375"/>
      <c r="G1347" s="375"/>
      <c r="H1347" s="375"/>
      <c r="I1347" s="375"/>
      <c r="J1347" s="375"/>
      <c r="K1347" s="375"/>
    </row>
    <row r="1348" spans="1:11" ht="12.75">
      <c r="A1348" s="375"/>
      <c r="B1348" s="375"/>
      <c r="C1348" s="375"/>
      <c r="D1348" s="375"/>
      <c r="E1348" s="375"/>
      <c r="F1348" s="375"/>
      <c r="G1348" s="375"/>
      <c r="H1348" s="375"/>
      <c r="I1348" s="375"/>
      <c r="J1348" s="375"/>
      <c r="K1348" s="375"/>
    </row>
    <row r="1349" spans="1:11" ht="12.75">
      <c r="A1349" s="375"/>
      <c r="B1349" s="375"/>
      <c r="C1349" s="375"/>
      <c r="D1349" s="375"/>
      <c r="E1349" s="375"/>
      <c r="F1349" s="375"/>
      <c r="G1349" s="375"/>
      <c r="H1349" s="375"/>
      <c r="I1349" s="375"/>
      <c r="J1349" s="375"/>
      <c r="K1349" s="375"/>
    </row>
    <row r="1350" spans="1:11" ht="12.75">
      <c r="A1350" s="375"/>
      <c r="B1350" s="375"/>
      <c r="C1350" s="375"/>
      <c r="D1350" s="375"/>
      <c r="E1350" s="375"/>
      <c r="F1350" s="375"/>
      <c r="G1350" s="375"/>
      <c r="H1350" s="375"/>
      <c r="I1350" s="375"/>
      <c r="J1350" s="375"/>
      <c r="K1350" s="375"/>
    </row>
    <row r="1351" spans="1:11" ht="12.75">
      <c r="A1351" s="375"/>
      <c r="B1351" s="375"/>
      <c r="C1351" s="375"/>
      <c r="D1351" s="375"/>
      <c r="E1351" s="375"/>
      <c r="F1351" s="375"/>
      <c r="G1351" s="375"/>
      <c r="H1351" s="375"/>
      <c r="I1351" s="375"/>
      <c r="J1351" s="375"/>
      <c r="K1351" s="375"/>
    </row>
    <row r="1352" spans="1:11" ht="12.75">
      <c r="A1352" s="375"/>
      <c r="B1352" s="375"/>
      <c r="C1352" s="375"/>
      <c r="D1352" s="375"/>
      <c r="E1352" s="375"/>
      <c r="F1352" s="375"/>
      <c r="G1352" s="375"/>
      <c r="H1352" s="375"/>
      <c r="I1352" s="375"/>
      <c r="J1352" s="375"/>
      <c r="K1352" s="375"/>
    </row>
    <row r="1353" spans="1:11" ht="12.75">
      <c r="A1353" s="375"/>
      <c r="B1353" s="375"/>
      <c r="C1353" s="375"/>
      <c r="D1353" s="375"/>
      <c r="E1353" s="375"/>
      <c r="F1353" s="375"/>
      <c r="G1353" s="375"/>
      <c r="H1353" s="375"/>
      <c r="I1353" s="375"/>
      <c r="J1353" s="375"/>
      <c r="K1353" s="375"/>
    </row>
    <row r="1354" spans="1:11" ht="12.75">
      <c r="A1354" s="375"/>
      <c r="B1354" s="375"/>
      <c r="C1354" s="375"/>
      <c r="D1354" s="375"/>
      <c r="E1354" s="375"/>
      <c r="F1354" s="375"/>
      <c r="G1354" s="375"/>
      <c r="H1354" s="375"/>
      <c r="I1354" s="375"/>
      <c r="J1354" s="375"/>
      <c r="K1354" s="375"/>
    </row>
    <row r="1355" spans="1:11" ht="12.75">
      <c r="A1355" s="375"/>
      <c r="B1355" s="375"/>
      <c r="C1355" s="375"/>
      <c r="D1355" s="375"/>
      <c r="E1355" s="375"/>
      <c r="F1355" s="375"/>
      <c r="G1355" s="375"/>
      <c r="H1355" s="375"/>
      <c r="I1355" s="375"/>
      <c r="J1355" s="375"/>
      <c r="K1355" s="375"/>
    </row>
    <row r="1356" spans="1:11" ht="12.75">
      <c r="A1356" s="375"/>
      <c r="B1356" s="375"/>
      <c r="C1356" s="375"/>
      <c r="D1356" s="375"/>
      <c r="E1356" s="375"/>
      <c r="F1356" s="375"/>
      <c r="G1356" s="375"/>
      <c r="H1356" s="375"/>
      <c r="I1356" s="375"/>
      <c r="J1356" s="375"/>
      <c r="K1356" s="375"/>
    </row>
    <row r="1357" spans="1:11" ht="12.75">
      <c r="A1357" s="375"/>
      <c r="B1357" s="375"/>
      <c r="C1357" s="375"/>
      <c r="D1357" s="375"/>
      <c r="E1357" s="375"/>
      <c r="F1357" s="375"/>
      <c r="G1357" s="375"/>
      <c r="H1357" s="375"/>
      <c r="I1357" s="375"/>
      <c r="J1357" s="375"/>
      <c r="K1357" s="375"/>
    </row>
    <row r="1358" spans="1:11" ht="12.75">
      <c r="A1358" s="375"/>
      <c r="B1358" s="375"/>
      <c r="C1358" s="375"/>
      <c r="D1358" s="375"/>
      <c r="E1358" s="375"/>
      <c r="F1358" s="375"/>
      <c r="G1358" s="375"/>
      <c r="H1358" s="375"/>
      <c r="I1358" s="375"/>
      <c r="J1358" s="375"/>
      <c r="K1358" s="375"/>
    </row>
    <row r="1359" spans="1:11" ht="12.75">
      <c r="A1359" s="375"/>
      <c r="B1359" s="375"/>
      <c r="C1359" s="375"/>
      <c r="D1359" s="375"/>
      <c r="E1359" s="375"/>
      <c r="F1359" s="375"/>
      <c r="G1359" s="375"/>
      <c r="H1359" s="375"/>
      <c r="I1359" s="375"/>
      <c r="J1359" s="375"/>
      <c r="K1359" s="375"/>
    </row>
    <row r="1360" spans="1:11" ht="12.75">
      <c r="A1360" s="375"/>
      <c r="B1360" s="375"/>
      <c r="C1360" s="375"/>
      <c r="D1360" s="375"/>
      <c r="E1360" s="375"/>
      <c r="F1360" s="375"/>
      <c r="G1360" s="375"/>
      <c r="H1360" s="375"/>
      <c r="I1360" s="375"/>
      <c r="J1360" s="375"/>
      <c r="K1360" s="375"/>
    </row>
    <row r="1361" spans="1:11" ht="12.75">
      <c r="A1361" s="375"/>
      <c r="B1361" s="375"/>
      <c r="C1361" s="375"/>
      <c r="D1361" s="375"/>
      <c r="E1361" s="375"/>
      <c r="F1361" s="375"/>
      <c r="G1361" s="375"/>
      <c r="H1361" s="375"/>
      <c r="I1361" s="375"/>
      <c r="J1361" s="375"/>
      <c r="K1361" s="375"/>
    </row>
    <row r="1362" spans="1:11" ht="12.75">
      <c r="A1362" s="375"/>
      <c r="B1362" s="375"/>
      <c r="C1362" s="375"/>
      <c r="D1362" s="375"/>
      <c r="E1362" s="375"/>
      <c r="F1362" s="375"/>
      <c r="G1362" s="375"/>
      <c r="H1362" s="375"/>
      <c r="I1362" s="375"/>
      <c r="J1362" s="375"/>
      <c r="K1362" s="375"/>
    </row>
    <row r="1363" spans="1:11" ht="12.75">
      <c r="A1363" s="375"/>
      <c r="B1363" s="375"/>
      <c r="C1363" s="375"/>
      <c r="D1363" s="375"/>
      <c r="E1363" s="375"/>
      <c r="F1363" s="375"/>
      <c r="G1363" s="375"/>
      <c r="H1363" s="375"/>
      <c r="I1363" s="375"/>
      <c r="J1363" s="375"/>
      <c r="K1363" s="375"/>
    </row>
    <row r="1364" spans="1:11" ht="12.75">
      <c r="A1364" s="375"/>
      <c r="B1364" s="375"/>
      <c r="C1364" s="375"/>
      <c r="D1364" s="375"/>
      <c r="E1364" s="375"/>
      <c r="F1364" s="375"/>
      <c r="G1364" s="375"/>
      <c r="H1364" s="375"/>
      <c r="I1364" s="375"/>
      <c r="J1364" s="375"/>
      <c r="K1364" s="375"/>
    </row>
    <row r="1365" spans="1:11" ht="12.75">
      <c r="A1365" s="375"/>
      <c r="B1365" s="375"/>
      <c r="C1365" s="375"/>
      <c r="D1365" s="375"/>
      <c r="E1365" s="375"/>
      <c r="F1365" s="375"/>
      <c r="G1365" s="375"/>
      <c r="H1365" s="375"/>
      <c r="I1365" s="375"/>
      <c r="J1365" s="375"/>
      <c r="K1365" s="375"/>
    </row>
    <row r="1366" spans="1:11" ht="12.75">
      <c r="A1366" s="375"/>
      <c r="B1366" s="375"/>
      <c r="C1366" s="375"/>
      <c r="D1366" s="375"/>
      <c r="E1366" s="375"/>
      <c r="F1366" s="375"/>
      <c r="G1366" s="375"/>
      <c r="H1366" s="375"/>
      <c r="I1366" s="375"/>
      <c r="J1366" s="375"/>
      <c r="K1366" s="375"/>
    </row>
    <row r="1367" spans="1:11" ht="12.75">
      <c r="A1367" s="375"/>
      <c r="B1367" s="375"/>
      <c r="C1367" s="375"/>
      <c r="D1367" s="375"/>
      <c r="E1367" s="375"/>
      <c r="F1367" s="375"/>
      <c r="G1367" s="375"/>
      <c r="H1367" s="375"/>
      <c r="I1367" s="375"/>
      <c r="J1367" s="375"/>
      <c r="K1367" s="375"/>
    </row>
    <row r="1368" spans="1:11" ht="12.75">
      <c r="A1368" s="375"/>
      <c r="B1368" s="375"/>
      <c r="C1368" s="375"/>
      <c r="D1368" s="375"/>
      <c r="E1368" s="375"/>
      <c r="F1368" s="375"/>
      <c r="G1368" s="375"/>
      <c r="H1368" s="375"/>
      <c r="I1368" s="375"/>
      <c r="J1368" s="375"/>
      <c r="K1368" s="375"/>
    </row>
    <row r="1369" spans="1:11" ht="12.75">
      <c r="A1369" s="375"/>
      <c r="B1369" s="375"/>
      <c r="C1369" s="375"/>
      <c r="D1369" s="375"/>
      <c r="E1369" s="375"/>
      <c r="F1369" s="375"/>
      <c r="G1369" s="375"/>
      <c r="H1369" s="375"/>
      <c r="I1369" s="375"/>
      <c r="J1369" s="375"/>
      <c r="K1369" s="375"/>
    </row>
    <row r="1370" spans="1:11" ht="12.75">
      <c r="A1370" s="375"/>
      <c r="B1370" s="375"/>
      <c r="C1370" s="375"/>
      <c r="D1370" s="375"/>
      <c r="E1370" s="375"/>
      <c r="F1370" s="375"/>
      <c r="G1370" s="375"/>
      <c r="H1370" s="375"/>
      <c r="I1370" s="375"/>
      <c r="J1370" s="375"/>
      <c r="K1370" s="375"/>
    </row>
    <row r="1371" spans="1:11" ht="12.75">
      <c r="A1371" s="375"/>
      <c r="B1371" s="375"/>
      <c r="C1371" s="375"/>
      <c r="D1371" s="375"/>
      <c r="E1371" s="375"/>
      <c r="F1371" s="375"/>
      <c r="G1371" s="375"/>
      <c r="H1371" s="375"/>
      <c r="I1371" s="375"/>
      <c r="J1371" s="375"/>
      <c r="K1371" s="375"/>
    </row>
    <row r="1372" spans="1:11" ht="12.75">
      <c r="A1372" s="375"/>
      <c r="B1372" s="375"/>
      <c r="C1372" s="375"/>
      <c r="D1372" s="375"/>
      <c r="E1372" s="375"/>
      <c r="F1372" s="375"/>
      <c r="G1372" s="375"/>
      <c r="H1372" s="375"/>
      <c r="I1372" s="375"/>
      <c r="J1372" s="375"/>
      <c r="K1372" s="375"/>
    </row>
    <row r="1373" spans="1:11" ht="12.75">
      <c r="A1373" s="375"/>
      <c r="B1373" s="375"/>
      <c r="C1373" s="375"/>
      <c r="D1373" s="375"/>
      <c r="E1373" s="375"/>
      <c r="F1373" s="375"/>
      <c r="G1373" s="375"/>
      <c r="H1373" s="375"/>
      <c r="I1373" s="375"/>
      <c r="J1373" s="375"/>
      <c r="K1373" s="375"/>
    </row>
    <row r="1374" spans="1:11" ht="12.75">
      <c r="A1374" s="375"/>
      <c r="B1374" s="375"/>
      <c r="C1374" s="375"/>
      <c r="D1374" s="375"/>
      <c r="E1374" s="375"/>
      <c r="F1374" s="375"/>
      <c r="G1374" s="375"/>
      <c r="H1374" s="375"/>
      <c r="I1374" s="375"/>
      <c r="J1374" s="375"/>
      <c r="K1374" s="375"/>
    </row>
    <row r="1375" spans="1:11" ht="12.75">
      <c r="A1375" s="375"/>
      <c r="B1375" s="375"/>
      <c r="C1375" s="375"/>
      <c r="D1375" s="375"/>
      <c r="E1375" s="375"/>
      <c r="F1375" s="375"/>
      <c r="G1375" s="375"/>
      <c r="H1375" s="375"/>
      <c r="I1375" s="375"/>
      <c r="J1375" s="375"/>
      <c r="K1375" s="375"/>
    </row>
    <row r="1376" spans="1:11" ht="12.75">
      <c r="A1376" s="375"/>
      <c r="B1376" s="375"/>
      <c r="C1376" s="375"/>
      <c r="D1376" s="375"/>
      <c r="E1376" s="375"/>
      <c r="F1376" s="375"/>
      <c r="G1376" s="375"/>
      <c r="H1376" s="375"/>
      <c r="I1376" s="375"/>
      <c r="J1376" s="375"/>
      <c r="K1376" s="375"/>
    </row>
    <row r="1377" spans="1:11" ht="12.75">
      <c r="A1377" s="375"/>
      <c r="B1377" s="375"/>
      <c r="C1377" s="375"/>
      <c r="D1377" s="375"/>
      <c r="E1377" s="375"/>
      <c r="F1377" s="375"/>
      <c r="G1377" s="375"/>
      <c r="H1377" s="375"/>
      <c r="I1377" s="375"/>
      <c r="J1377" s="375"/>
      <c r="K1377" s="375"/>
    </row>
    <row r="1378" spans="1:11" ht="12.75">
      <c r="A1378" s="375"/>
      <c r="B1378" s="375"/>
      <c r="C1378" s="375"/>
      <c r="D1378" s="375"/>
      <c r="E1378" s="375"/>
      <c r="F1378" s="375"/>
      <c r="G1378" s="375"/>
      <c r="H1378" s="375"/>
      <c r="I1378" s="375"/>
      <c r="J1378" s="375"/>
      <c r="K1378" s="375"/>
    </row>
    <row r="1379" spans="1:11" ht="12.75">
      <c r="A1379" s="375"/>
      <c r="B1379" s="375"/>
      <c r="C1379" s="375"/>
      <c r="D1379" s="375"/>
      <c r="E1379" s="375"/>
      <c r="F1379" s="375"/>
      <c r="G1379" s="375"/>
      <c r="H1379" s="375"/>
      <c r="I1379" s="375"/>
      <c r="J1379" s="375"/>
      <c r="K1379" s="375"/>
    </row>
    <row r="1380" spans="1:11" ht="12.75">
      <c r="A1380" s="375"/>
      <c r="B1380" s="375"/>
      <c r="C1380" s="375"/>
      <c r="D1380" s="375"/>
      <c r="E1380" s="375"/>
      <c r="F1380" s="375"/>
      <c r="G1380" s="375"/>
      <c r="H1380" s="375"/>
      <c r="I1380" s="375"/>
      <c r="J1380" s="375"/>
      <c r="K1380" s="375"/>
    </row>
    <row r="1381" spans="1:11" ht="12.75">
      <c r="A1381" s="375"/>
      <c r="B1381" s="375"/>
      <c r="C1381" s="375"/>
      <c r="D1381" s="375"/>
      <c r="E1381" s="375"/>
      <c r="F1381" s="375"/>
      <c r="G1381" s="375"/>
      <c r="H1381" s="375"/>
      <c r="I1381" s="375"/>
      <c r="J1381" s="375"/>
      <c r="K1381" s="375"/>
    </row>
    <row r="1382" spans="1:11" ht="12.75">
      <c r="A1382" s="375"/>
      <c r="B1382" s="375"/>
      <c r="C1382" s="375"/>
      <c r="D1382" s="375"/>
      <c r="E1382" s="375"/>
      <c r="F1382" s="375"/>
      <c r="G1382" s="375"/>
      <c r="H1382" s="375"/>
      <c r="I1382" s="375"/>
      <c r="J1382" s="375"/>
      <c r="K1382" s="375"/>
    </row>
    <row r="1383" spans="1:11" ht="12.75">
      <c r="A1383" s="375"/>
      <c r="B1383" s="375"/>
      <c r="C1383" s="375"/>
      <c r="D1383" s="375"/>
      <c r="E1383" s="375"/>
      <c r="F1383" s="375"/>
      <c r="G1383" s="375"/>
      <c r="H1383" s="375"/>
      <c r="I1383" s="375"/>
      <c r="J1383" s="375"/>
      <c r="K1383" s="375"/>
    </row>
    <row r="1384" spans="1:11" ht="12.75">
      <c r="A1384" s="375"/>
      <c r="B1384" s="375"/>
      <c r="C1384" s="375"/>
      <c r="D1384" s="375"/>
      <c r="E1384" s="375"/>
      <c r="F1384" s="375"/>
      <c r="G1384" s="375"/>
      <c r="H1384" s="375"/>
      <c r="I1384" s="375"/>
      <c r="J1384" s="375"/>
      <c r="K1384" s="375"/>
    </row>
    <row r="1385" spans="1:11" ht="12.75">
      <c r="A1385" s="375"/>
      <c r="B1385" s="375"/>
      <c r="C1385" s="375"/>
      <c r="D1385" s="375"/>
      <c r="E1385" s="375"/>
      <c r="F1385" s="375"/>
      <c r="G1385" s="375"/>
      <c r="H1385" s="375"/>
      <c r="I1385" s="375"/>
      <c r="J1385" s="375"/>
      <c r="K1385" s="375"/>
    </row>
    <row r="1386" spans="1:11" ht="12.75">
      <c r="A1386" s="375"/>
      <c r="B1386" s="375"/>
      <c r="C1386" s="375"/>
      <c r="D1386" s="375"/>
      <c r="E1386" s="375"/>
      <c r="F1386" s="375"/>
      <c r="G1386" s="375"/>
      <c r="H1386" s="375"/>
      <c r="I1386" s="375"/>
      <c r="J1386" s="375"/>
      <c r="K1386" s="375"/>
    </row>
    <row r="1387" spans="1:11" ht="12.75">
      <c r="A1387" s="375"/>
      <c r="B1387" s="375"/>
      <c r="C1387" s="375"/>
      <c r="D1387" s="375"/>
      <c r="E1387" s="375"/>
      <c r="F1387" s="375"/>
      <c r="G1387" s="375"/>
      <c r="H1387" s="375"/>
      <c r="I1387" s="375"/>
      <c r="J1387" s="375"/>
      <c r="K1387" s="375"/>
    </row>
    <row r="1388" spans="1:11" ht="12.75">
      <c r="A1388" s="375"/>
      <c r="B1388" s="375"/>
      <c r="C1388" s="375"/>
      <c r="D1388" s="375"/>
      <c r="E1388" s="375"/>
      <c r="F1388" s="375"/>
      <c r="G1388" s="375"/>
      <c r="H1388" s="375"/>
      <c r="I1388" s="375"/>
      <c r="J1388" s="375"/>
      <c r="K1388" s="375"/>
    </row>
    <row r="1389" spans="1:11" ht="12.75">
      <c r="A1389" s="375"/>
      <c r="B1389" s="375"/>
      <c r="C1389" s="375"/>
      <c r="D1389" s="375"/>
      <c r="E1389" s="375"/>
      <c r="F1389" s="375"/>
      <c r="G1389" s="375"/>
      <c r="H1389" s="375"/>
      <c r="I1389" s="375"/>
      <c r="J1389" s="375"/>
      <c r="K1389" s="375"/>
    </row>
    <row r="1390" spans="1:11" ht="12.75">
      <c r="A1390" s="375"/>
      <c r="B1390" s="375"/>
      <c r="C1390" s="375"/>
      <c r="D1390" s="375"/>
      <c r="E1390" s="375"/>
      <c r="F1390" s="375"/>
      <c r="G1390" s="375"/>
      <c r="H1390" s="375"/>
      <c r="I1390" s="375"/>
      <c r="J1390" s="375"/>
      <c r="K1390" s="375"/>
    </row>
    <row r="1391" spans="1:11" ht="12.75">
      <c r="A1391" s="375"/>
      <c r="B1391" s="375"/>
      <c r="C1391" s="375"/>
      <c r="D1391" s="375"/>
      <c r="E1391" s="375"/>
      <c r="F1391" s="375"/>
      <c r="G1391" s="375"/>
      <c r="H1391" s="375"/>
      <c r="I1391" s="375"/>
      <c r="J1391" s="375"/>
      <c r="K1391" s="375"/>
    </row>
    <row r="1392" spans="1:11" ht="12.75">
      <c r="A1392" s="375"/>
      <c r="B1392" s="375"/>
      <c r="C1392" s="375"/>
      <c r="D1392" s="375"/>
      <c r="E1392" s="375"/>
      <c r="F1392" s="375"/>
      <c r="G1392" s="375"/>
      <c r="H1392" s="375"/>
      <c r="I1392" s="375"/>
      <c r="J1392" s="375"/>
      <c r="K1392" s="375"/>
    </row>
    <row r="1393" spans="1:11" ht="12.75">
      <c r="A1393" s="375"/>
      <c r="B1393" s="375"/>
      <c r="C1393" s="375"/>
      <c r="D1393" s="375"/>
      <c r="E1393" s="375"/>
      <c r="F1393" s="375"/>
      <c r="G1393" s="375"/>
      <c r="H1393" s="375"/>
      <c r="I1393" s="375"/>
      <c r="J1393" s="375"/>
      <c r="K1393" s="375"/>
    </row>
    <row r="1394" spans="1:11" ht="12.75">
      <c r="A1394" s="375"/>
      <c r="B1394" s="375"/>
      <c r="C1394" s="375"/>
      <c r="D1394" s="375"/>
      <c r="E1394" s="375"/>
      <c r="F1394" s="375"/>
      <c r="G1394" s="375"/>
      <c r="H1394" s="375"/>
      <c r="I1394" s="375"/>
      <c r="J1394" s="375"/>
      <c r="K1394" s="375"/>
    </row>
    <row r="1395" spans="1:11" ht="12.75">
      <c r="A1395" s="375"/>
      <c r="B1395" s="375"/>
      <c r="C1395" s="375"/>
      <c r="D1395" s="375"/>
      <c r="E1395" s="375"/>
      <c r="F1395" s="375"/>
      <c r="G1395" s="375"/>
      <c r="H1395" s="375"/>
      <c r="I1395" s="375"/>
      <c r="J1395" s="375"/>
      <c r="K1395" s="375"/>
    </row>
    <row r="1396" spans="1:11" ht="12.75">
      <c r="A1396" s="375"/>
      <c r="B1396" s="375"/>
      <c r="C1396" s="375"/>
      <c r="D1396" s="375"/>
      <c r="E1396" s="375"/>
      <c r="F1396" s="375"/>
      <c r="G1396" s="375"/>
      <c r="H1396" s="375"/>
      <c r="I1396" s="375"/>
      <c r="J1396" s="375"/>
      <c r="K1396" s="375"/>
    </row>
    <row r="1397" spans="1:11" ht="12.75">
      <c r="A1397" s="375"/>
      <c r="B1397" s="375"/>
      <c r="C1397" s="375"/>
      <c r="D1397" s="375"/>
      <c r="E1397" s="375"/>
      <c r="F1397" s="375"/>
      <c r="G1397" s="375"/>
      <c r="H1397" s="375"/>
      <c r="I1397" s="375"/>
      <c r="J1397" s="375"/>
      <c r="K1397" s="375"/>
    </row>
    <row r="1398" spans="1:11" ht="12.75">
      <c r="A1398" s="375"/>
      <c r="B1398" s="375"/>
      <c r="C1398" s="375"/>
      <c r="D1398" s="375"/>
      <c r="E1398" s="375"/>
      <c r="F1398" s="375"/>
      <c r="G1398" s="375"/>
      <c r="H1398" s="375"/>
      <c r="I1398" s="375"/>
      <c r="J1398" s="375"/>
      <c r="K1398" s="375"/>
    </row>
    <row r="1399" spans="1:11" ht="12.75">
      <c r="A1399" s="375"/>
      <c r="B1399" s="375"/>
      <c r="C1399" s="375"/>
      <c r="D1399" s="375"/>
      <c r="E1399" s="375"/>
      <c r="F1399" s="375"/>
      <c r="G1399" s="375"/>
      <c r="H1399" s="375"/>
      <c r="I1399" s="375"/>
      <c r="J1399" s="375"/>
      <c r="K1399" s="375"/>
    </row>
    <row r="1400" spans="1:11" ht="12.75">
      <c r="A1400" s="375"/>
      <c r="B1400" s="375"/>
      <c r="C1400" s="375"/>
      <c r="D1400" s="375"/>
      <c r="E1400" s="375"/>
      <c r="F1400" s="375"/>
      <c r="G1400" s="375"/>
      <c r="H1400" s="375"/>
      <c r="I1400" s="375"/>
      <c r="J1400" s="375"/>
      <c r="K1400" s="375"/>
    </row>
    <row r="1401" spans="1:11" ht="12.75">
      <c r="A1401" s="375"/>
      <c r="B1401" s="375"/>
      <c r="C1401" s="375"/>
      <c r="D1401" s="375"/>
      <c r="E1401" s="375"/>
      <c r="F1401" s="375"/>
      <c r="G1401" s="375"/>
      <c r="H1401" s="375"/>
      <c r="I1401" s="375"/>
      <c r="J1401" s="375"/>
      <c r="K1401" s="375"/>
    </row>
    <row r="1402" spans="1:11" ht="12.75">
      <c r="A1402" s="375"/>
      <c r="B1402" s="375"/>
      <c r="C1402" s="375"/>
      <c r="D1402" s="375"/>
      <c r="E1402" s="375"/>
      <c r="F1402" s="375"/>
      <c r="G1402" s="375"/>
      <c r="H1402" s="375"/>
      <c r="I1402" s="375"/>
      <c r="J1402" s="375"/>
      <c r="K1402" s="375"/>
    </row>
    <row r="1403" spans="1:11" ht="12.75">
      <c r="A1403" s="375"/>
      <c r="B1403" s="375"/>
      <c r="C1403" s="375"/>
      <c r="D1403" s="375"/>
      <c r="E1403" s="375"/>
      <c r="F1403" s="375"/>
      <c r="G1403" s="375"/>
      <c r="H1403" s="375"/>
      <c r="I1403" s="375"/>
      <c r="J1403" s="375"/>
      <c r="K1403" s="375"/>
    </row>
    <row r="1404" spans="1:11" ht="12.75">
      <c r="A1404" s="375"/>
      <c r="B1404" s="375"/>
      <c r="C1404" s="375"/>
      <c r="D1404" s="375"/>
      <c r="E1404" s="375"/>
      <c r="F1404" s="375"/>
      <c r="G1404" s="375"/>
      <c r="H1404" s="375"/>
      <c r="I1404" s="375"/>
      <c r="J1404" s="375"/>
      <c r="K1404" s="375"/>
    </row>
    <row r="1405" spans="1:11" ht="12.75">
      <c r="A1405" s="375"/>
      <c r="B1405" s="375"/>
      <c r="C1405" s="375"/>
      <c r="D1405" s="375"/>
      <c r="E1405" s="375"/>
      <c r="F1405" s="375"/>
      <c r="G1405" s="375"/>
      <c r="H1405" s="375"/>
      <c r="I1405" s="375"/>
      <c r="J1405" s="375"/>
      <c r="K1405" s="375"/>
    </row>
    <row r="1406" spans="1:11" ht="12.75">
      <c r="A1406" s="375"/>
      <c r="B1406" s="375"/>
      <c r="C1406" s="375"/>
      <c r="D1406" s="375"/>
      <c r="E1406" s="375"/>
      <c r="F1406" s="375"/>
      <c r="G1406" s="375"/>
      <c r="H1406" s="375"/>
      <c r="I1406" s="375"/>
      <c r="J1406" s="375"/>
      <c r="K1406" s="375"/>
    </row>
    <row r="1407" spans="1:11" ht="12.75">
      <c r="A1407" s="375"/>
      <c r="B1407" s="375"/>
      <c r="C1407" s="375"/>
      <c r="D1407" s="375"/>
      <c r="E1407" s="375"/>
      <c r="F1407" s="375"/>
      <c r="G1407" s="375"/>
      <c r="H1407" s="375"/>
      <c r="I1407" s="375"/>
      <c r="J1407" s="375"/>
      <c r="K1407" s="375"/>
    </row>
    <row r="1408" spans="1:11" ht="12.75">
      <c r="A1408" s="375"/>
      <c r="B1408" s="375"/>
      <c r="C1408" s="375"/>
      <c r="D1408" s="375"/>
      <c r="E1408" s="375"/>
      <c r="F1408" s="375"/>
      <c r="G1408" s="375"/>
      <c r="H1408" s="375"/>
      <c r="I1408" s="375"/>
      <c r="J1408" s="375"/>
      <c r="K1408" s="375"/>
    </row>
    <row r="1409" spans="1:11" ht="12.75">
      <c r="A1409" s="375"/>
      <c r="B1409" s="375"/>
      <c r="C1409" s="375"/>
      <c r="D1409" s="375"/>
      <c r="E1409" s="375"/>
      <c r="F1409" s="375"/>
      <c r="G1409" s="375"/>
      <c r="H1409" s="375"/>
      <c r="I1409" s="375"/>
      <c r="J1409" s="375"/>
      <c r="K1409" s="375"/>
    </row>
    <row r="1410" spans="1:11" ht="12.75">
      <c r="A1410" s="375"/>
      <c r="B1410" s="375"/>
      <c r="C1410" s="375"/>
      <c r="D1410" s="375"/>
      <c r="E1410" s="375"/>
      <c r="F1410" s="375"/>
      <c r="G1410" s="375"/>
      <c r="H1410" s="375"/>
      <c r="I1410" s="375"/>
      <c r="J1410" s="375"/>
      <c r="K1410" s="375"/>
    </row>
    <row r="1411" spans="1:11" ht="12.75">
      <c r="A1411" s="375"/>
      <c r="B1411" s="375"/>
      <c r="C1411" s="375"/>
      <c r="D1411" s="375"/>
      <c r="E1411" s="375"/>
      <c r="F1411" s="375"/>
      <c r="G1411" s="375"/>
      <c r="H1411" s="375"/>
      <c r="I1411" s="375"/>
      <c r="J1411" s="375"/>
      <c r="K1411" s="375"/>
    </row>
    <row r="1412" spans="1:11" ht="12.75">
      <c r="A1412" s="375"/>
      <c r="B1412" s="375"/>
      <c r="C1412" s="375"/>
      <c r="D1412" s="375"/>
      <c r="E1412" s="375"/>
      <c r="F1412" s="375"/>
      <c r="G1412" s="375"/>
      <c r="H1412" s="375"/>
      <c r="I1412" s="375"/>
      <c r="J1412" s="375"/>
      <c r="K1412" s="375"/>
    </row>
    <row r="1413" spans="1:11" ht="12.75">
      <c r="A1413" s="375"/>
      <c r="B1413" s="375"/>
      <c r="C1413" s="375"/>
      <c r="D1413" s="375"/>
      <c r="E1413" s="375"/>
      <c r="F1413" s="375"/>
      <c r="G1413" s="375"/>
      <c r="H1413" s="375"/>
      <c r="I1413" s="375"/>
      <c r="J1413" s="375"/>
      <c r="K1413" s="375"/>
    </row>
    <row r="1414" spans="1:11" ht="12.75">
      <c r="A1414" s="375"/>
      <c r="B1414" s="375"/>
      <c r="C1414" s="375"/>
      <c r="D1414" s="375"/>
      <c r="E1414" s="375"/>
      <c r="F1414" s="375"/>
      <c r="G1414" s="375"/>
      <c r="H1414" s="375"/>
      <c r="I1414" s="375"/>
      <c r="J1414" s="375"/>
      <c r="K1414" s="375"/>
    </row>
    <row r="1415" spans="1:11" ht="12.75">
      <c r="A1415" s="375"/>
      <c r="B1415" s="375"/>
      <c r="C1415" s="375"/>
      <c r="D1415" s="375"/>
      <c r="E1415" s="375"/>
      <c r="F1415" s="375"/>
      <c r="G1415" s="375"/>
      <c r="H1415" s="375"/>
      <c r="I1415" s="375"/>
      <c r="J1415" s="375"/>
      <c r="K1415" s="375"/>
    </row>
    <row r="1416" spans="1:11" ht="12.75">
      <c r="A1416" s="375"/>
      <c r="B1416" s="375"/>
      <c r="C1416" s="375"/>
      <c r="D1416" s="375"/>
      <c r="E1416" s="375"/>
      <c r="F1416" s="375"/>
      <c r="G1416" s="375"/>
      <c r="H1416" s="375"/>
      <c r="I1416" s="375"/>
      <c r="J1416" s="375"/>
      <c r="K1416" s="375"/>
    </row>
    <row r="1417" spans="1:11" ht="12.75">
      <c r="A1417" s="375"/>
      <c r="B1417" s="375"/>
      <c r="C1417" s="375"/>
      <c r="D1417" s="375"/>
      <c r="E1417" s="375"/>
      <c r="F1417" s="375"/>
      <c r="G1417" s="375"/>
      <c r="H1417" s="375"/>
      <c r="I1417" s="375"/>
      <c r="J1417" s="375"/>
      <c r="K1417" s="375"/>
    </row>
    <row r="1418" spans="1:11" ht="12.75">
      <c r="A1418" s="375"/>
      <c r="B1418" s="375"/>
      <c r="C1418" s="375"/>
      <c r="D1418" s="375"/>
      <c r="E1418" s="375"/>
      <c r="F1418" s="375"/>
      <c r="G1418" s="375"/>
      <c r="H1418" s="375"/>
      <c r="I1418" s="375"/>
      <c r="J1418" s="375"/>
      <c r="K1418" s="375"/>
    </row>
    <row r="1419" spans="1:11" ht="12.75">
      <c r="A1419" s="375"/>
      <c r="B1419" s="375"/>
      <c r="C1419" s="375"/>
      <c r="D1419" s="375"/>
      <c r="E1419" s="375"/>
      <c r="F1419" s="375"/>
      <c r="G1419" s="375"/>
      <c r="H1419" s="375"/>
      <c r="I1419" s="375"/>
      <c r="J1419" s="375"/>
      <c r="K1419" s="375"/>
    </row>
    <row r="1420" spans="1:11" ht="12.75">
      <c r="A1420" s="375"/>
      <c r="B1420" s="375"/>
      <c r="C1420" s="375"/>
      <c r="D1420" s="375"/>
      <c r="E1420" s="375"/>
      <c r="F1420" s="375"/>
      <c r="G1420" s="375"/>
      <c r="H1420" s="375"/>
      <c r="I1420" s="375"/>
      <c r="J1420" s="375"/>
      <c r="K1420" s="375"/>
    </row>
    <row r="1421" spans="1:11" ht="12.75">
      <c r="A1421" s="375"/>
      <c r="B1421" s="375"/>
      <c r="C1421" s="375"/>
      <c r="D1421" s="375"/>
      <c r="E1421" s="375"/>
      <c r="F1421" s="375"/>
      <c r="G1421" s="375"/>
      <c r="H1421" s="375"/>
      <c r="I1421" s="375"/>
      <c r="J1421" s="375"/>
      <c r="K1421" s="375"/>
    </row>
    <row r="1422" spans="1:11" ht="12.75">
      <c r="A1422" s="375"/>
      <c r="B1422" s="375"/>
      <c r="C1422" s="375"/>
      <c r="D1422" s="375"/>
      <c r="E1422" s="375"/>
      <c r="F1422" s="375"/>
      <c r="G1422" s="375"/>
      <c r="H1422" s="375"/>
      <c r="I1422" s="375"/>
      <c r="J1422" s="375"/>
      <c r="K1422" s="375"/>
    </row>
    <row r="1423" spans="1:11" ht="12.75">
      <c r="A1423" s="375"/>
      <c r="B1423" s="375"/>
      <c r="C1423" s="375"/>
      <c r="D1423" s="375"/>
      <c r="E1423" s="375"/>
      <c r="F1423" s="375"/>
      <c r="G1423" s="375"/>
      <c r="H1423" s="375"/>
      <c r="I1423" s="375"/>
      <c r="J1423" s="375"/>
      <c r="K1423" s="375"/>
    </row>
    <row r="1424" spans="1:11" ht="12.75">
      <c r="A1424" s="375"/>
      <c r="B1424" s="375"/>
      <c r="C1424" s="375"/>
      <c r="D1424" s="375"/>
      <c r="E1424" s="375"/>
      <c r="F1424" s="375"/>
      <c r="G1424" s="375"/>
      <c r="H1424" s="375"/>
      <c r="I1424" s="375"/>
      <c r="J1424" s="375"/>
      <c r="K1424" s="375"/>
    </row>
    <row r="1425" spans="1:11" ht="12.75">
      <c r="A1425" s="375"/>
      <c r="B1425" s="375"/>
      <c r="C1425" s="375"/>
      <c r="D1425" s="375"/>
      <c r="E1425" s="375"/>
      <c r="F1425" s="375"/>
      <c r="G1425" s="375"/>
      <c r="H1425" s="375"/>
      <c r="I1425" s="375"/>
      <c r="J1425" s="375"/>
      <c r="K1425" s="375"/>
    </row>
    <row r="1426" spans="1:11" ht="12.75">
      <c r="A1426" s="375"/>
      <c r="B1426" s="375"/>
      <c r="C1426" s="375"/>
      <c r="D1426" s="375"/>
      <c r="E1426" s="375"/>
      <c r="F1426" s="375"/>
      <c r="G1426" s="375"/>
      <c r="H1426" s="375"/>
      <c r="I1426" s="375"/>
      <c r="J1426" s="375"/>
      <c r="K1426" s="375"/>
    </row>
    <row r="1427" spans="1:11" ht="12.75">
      <c r="A1427" s="375"/>
      <c r="B1427" s="375"/>
      <c r="C1427" s="375"/>
      <c r="D1427" s="375"/>
      <c r="E1427" s="375"/>
      <c r="F1427" s="375"/>
      <c r="G1427" s="375"/>
      <c r="H1427" s="375"/>
      <c r="I1427" s="375"/>
      <c r="J1427" s="375"/>
      <c r="K1427" s="375"/>
    </row>
    <row r="1428" spans="1:11" ht="12.75">
      <c r="A1428" s="375"/>
      <c r="B1428" s="375"/>
      <c r="C1428" s="375"/>
      <c r="D1428" s="375"/>
      <c r="E1428" s="375"/>
      <c r="F1428" s="375"/>
      <c r="G1428" s="375"/>
      <c r="H1428" s="375"/>
      <c r="I1428" s="375"/>
      <c r="J1428" s="375"/>
      <c r="K1428" s="375"/>
    </row>
    <row r="1429" spans="1:11" ht="12.75">
      <c r="A1429" s="375"/>
      <c r="B1429" s="375"/>
      <c r="C1429" s="375"/>
      <c r="D1429" s="375"/>
      <c r="E1429" s="375"/>
      <c r="F1429" s="375"/>
      <c r="G1429" s="375"/>
      <c r="H1429" s="375"/>
      <c r="I1429" s="375"/>
      <c r="J1429" s="375"/>
      <c r="K1429" s="375"/>
    </row>
    <row r="1430" spans="1:11" ht="12.75">
      <c r="A1430" s="375"/>
      <c r="B1430" s="375"/>
      <c r="C1430" s="375"/>
      <c r="D1430" s="375"/>
      <c r="E1430" s="375"/>
      <c r="F1430" s="375"/>
      <c r="G1430" s="375"/>
      <c r="H1430" s="375"/>
      <c r="I1430" s="375"/>
      <c r="J1430" s="375"/>
      <c r="K1430" s="375"/>
    </row>
    <row r="1431" spans="1:11" ht="12.75">
      <c r="A1431" s="375"/>
      <c r="B1431" s="375"/>
      <c r="C1431" s="375"/>
      <c r="D1431" s="375"/>
      <c r="E1431" s="375"/>
      <c r="F1431" s="375"/>
      <c r="G1431" s="375"/>
      <c r="H1431" s="375"/>
      <c r="I1431" s="375"/>
      <c r="J1431" s="375"/>
      <c r="K1431" s="375"/>
    </row>
    <row r="1432" spans="1:11" ht="12.75">
      <c r="A1432" s="375"/>
      <c r="B1432" s="375"/>
      <c r="C1432" s="375"/>
      <c r="D1432" s="375"/>
      <c r="E1432" s="375"/>
      <c r="F1432" s="375"/>
      <c r="G1432" s="375"/>
      <c r="H1432" s="375"/>
      <c r="I1432" s="375"/>
      <c r="J1432" s="375"/>
      <c r="K1432" s="375"/>
    </row>
    <row r="1433" spans="1:11" ht="12.75">
      <c r="A1433" s="375"/>
      <c r="B1433" s="375"/>
      <c r="C1433" s="375"/>
      <c r="D1433" s="375"/>
      <c r="E1433" s="375"/>
      <c r="F1433" s="375"/>
      <c r="G1433" s="375"/>
      <c r="H1433" s="375"/>
      <c r="I1433" s="375"/>
      <c r="J1433" s="375"/>
      <c r="K1433" s="375"/>
    </row>
    <row r="1434" spans="1:11" ht="12.75">
      <c r="A1434" s="375"/>
      <c r="B1434" s="375"/>
      <c r="C1434" s="375"/>
      <c r="D1434" s="375"/>
      <c r="E1434" s="375"/>
      <c r="F1434" s="375"/>
      <c r="G1434" s="375"/>
      <c r="H1434" s="375"/>
      <c r="I1434" s="375"/>
      <c r="J1434" s="375"/>
      <c r="K1434" s="375"/>
    </row>
    <row r="1435" spans="1:11" ht="12.75">
      <c r="A1435" s="375"/>
      <c r="B1435" s="375"/>
      <c r="C1435" s="375"/>
      <c r="D1435" s="375"/>
      <c r="E1435" s="375"/>
      <c r="F1435" s="375"/>
      <c r="G1435" s="375"/>
      <c r="H1435" s="375"/>
      <c r="I1435" s="375"/>
      <c r="J1435" s="375"/>
      <c r="K1435" s="375"/>
    </row>
    <row r="1436" spans="1:11" ht="12.75">
      <c r="A1436" s="375"/>
      <c r="B1436" s="375"/>
      <c r="C1436" s="375"/>
      <c r="D1436" s="375"/>
      <c r="E1436" s="375"/>
      <c r="F1436" s="375"/>
      <c r="G1436" s="375"/>
      <c r="H1436" s="375"/>
      <c r="I1436" s="375"/>
      <c r="J1436" s="375"/>
      <c r="K1436" s="375"/>
    </row>
    <row r="1437" spans="1:11" ht="12.75">
      <c r="A1437" s="375"/>
      <c r="B1437" s="375"/>
      <c r="C1437" s="375"/>
      <c r="D1437" s="375"/>
      <c r="E1437" s="375"/>
      <c r="F1437" s="375"/>
      <c r="G1437" s="375"/>
      <c r="H1437" s="375"/>
      <c r="I1437" s="375"/>
      <c r="J1437" s="375"/>
      <c r="K1437" s="375"/>
    </row>
    <row r="1438" spans="1:11" ht="12.75">
      <c r="A1438" s="375"/>
      <c r="B1438" s="375"/>
      <c r="C1438" s="375"/>
      <c r="D1438" s="375"/>
      <c r="E1438" s="375"/>
      <c r="F1438" s="375"/>
      <c r="G1438" s="375"/>
      <c r="H1438" s="375"/>
      <c r="I1438" s="375"/>
      <c r="J1438" s="375"/>
      <c r="K1438" s="375"/>
    </row>
    <row r="1439" spans="1:11" ht="12.75">
      <c r="A1439" s="375"/>
      <c r="B1439" s="375"/>
      <c r="C1439" s="375"/>
      <c r="D1439" s="375"/>
      <c r="E1439" s="375"/>
      <c r="F1439" s="375"/>
      <c r="G1439" s="375"/>
      <c r="H1439" s="375"/>
      <c r="I1439" s="375"/>
      <c r="J1439" s="375"/>
      <c r="K1439" s="375"/>
    </row>
    <row r="1440" spans="1:11" ht="12.75">
      <c r="A1440" s="375"/>
      <c r="B1440" s="375"/>
      <c r="C1440" s="375"/>
      <c r="D1440" s="375"/>
      <c r="E1440" s="375"/>
      <c r="F1440" s="375"/>
      <c r="G1440" s="375"/>
      <c r="H1440" s="375"/>
      <c r="I1440" s="375"/>
      <c r="J1440" s="375"/>
      <c r="K1440" s="375"/>
    </row>
    <row r="1441" spans="1:11" ht="12.75">
      <c r="A1441" s="375"/>
      <c r="B1441" s="375"/>
      <c r="C1441" s="375"/>
      <c r="D1441" s="375"/>
      <c r="E1441" s="375"/>
      <c r="F1441" s="375"/>
      <c r="G1441" s="375"/>
      <c r="H1441" s="375"/>
      <c r="I1441" s="375"/>
      <c r="J1441" s="375"/>
      <c r="K1441" s="375"/>
    </row>
    <row r="1442" spans="1:11" ht="12.75">
      <c r="A1442" s="375"/>
      <c r="B1442" s="375"/>
      <c r="C1442" s="375"/>
      <c r="D1442" s="375"/>
      <c r="E1442" s="375"/>
      <c r="F1442" s="375"/>
      <c r="G1442" s="375"/>
      <c r="H1442" s="375"/>
      <c r="I1442" s="375"/>
      <c r="J1442" s="375"/>
      <c r="K1442" s="375"/>
    </row>
    <row r="1443" spans="1:11" ht="12.75">
      <c r="A1443" s="375"/>
      <c r="B1443" s="375"/>
      <c r="C1443" s="375"/>
      <c r="D1443" s="375"/>
      <c r="E1443" s="375"/>
      <c r="F1443" s="375"/>
      <c r="G1443" s="375"/>
      <c r="H1443" s="375"/>
      <c r="I1443" s="375"/>
      <c r="J1443" s="375"/>
      <c r="K1443" s="375"/>
    </row>
    <row r="1444" spans="1:11" ht="12.75">
      <c r="A1444" s="375"/>
      <c r="B1444" s="375"/>
      <c r="C1444" s="375"/>
      <c r="D1444" s="375"/>
      <c r="E1444" s="375"/>
      <c r="F1444" s="375"/>
      <c r="G1444" s="375"/>
      <c r="H1444" s="375"/>
      <c r="I1444" s="375"/>
      <c r="J1444" s="375"/>
      <c r="K1444" s="375"/>
    </row>
    <row r="1445" spans="1:11" ht="12.75">
      <c r="A1445" s="375"/>
      <c r="B1445" s="375"/>
      <c r="C1445" s="375"/>
      <c r="D1445" s="375"/>
      <c r="E1445" s="375"/>
      <c r="F1445" s="375"/>
      <c r="G1445" s="375"/>
      <c r="H1445" s="375"/>
      <c r="I1445" s="375"/>
      <c r="J1445" s="375"/>
      <c r="K1445" s="375"/>
    </row>
    <row r="1446" spans="1:11" ht="12.75">
      <c r="A1446" s="375"/>
      <c r="B1446" s="375"/>
      <c r="C1446" s="375"/>
      <c r="D1446" s="375"/>
      <c r="E1446" s="375"/>
      <c r="F1446" s="375"/>
      <c r="G1446" s="375"/>
      <c r="H1446" s="375"/>
      <c r="I1446" s="375"/>
      <c r="J1446" s="375"/>
      <c r="K1446" s="375"/>
    </row>
    <row r="1447" spans="1:11" ht="12.75">
      <c r="A1447" s="375"/>
      <c r="B1447" s="375"/>
      <c r="C1447" s="375"/>
      <c r="D1447" s="375"/>
      <c r="E1447" s="375"/>
      <c r="F1447" s="375"/>
      <c r="G1447" s="375"/>
      <c r="H1447" s="375"/>
      <c r="I1447" s="375"/>
      <c r="J1447" s="375"/>
      <c r="K1447" s="375"/>
    </row>
    <row r="1448" spans="1:11" ht="12.75">
      <c r="A1448" s="375"/>
      <c r="B1448" s="375"/>
      <c r="C1448" s="375"/>
      <c r="D1448" s="375"/>
      <c r="E1448" s="375"/>
      <c r="F1448" s="375"/>
      <c r="G1448" s="375"/>
      <c r="H1448" s="375"/>
      <c r="I1448" s="375"/>
      <c r="J1448" s="375"/>
      <c r="K1448" s="375"/>
    </row>
    <row r="1449" spans="1:11" ht="12.75">
      <c r="A1449" s="375"/>
      <c r="B1449" s="375"/>
      <c r="C1449" s="375"/>
      <c r="D1449" s="375"/>
      <c r="E1449" s="375"/>
      <c r="F1449" s="375"/>
      <c r="G1449" s="375"/>
      <c r="H1449" s="375"/>
      <c r="I1449" s="375"/>
      <c r="J1449" s="375"/>
      <c r="K1449" s="375"/>
    </row>
    <row r="1450" spans="1:11" ht="12.75">
      <c r="A1450" s="375"/>
      <c r="B1450" s="375"/>
      <c r="C1450" s="375"/>
      <c r="D1450" s="375"/>
      <c r="E1450" s="375"/>
      <c r="F1450" s="375"/>
      <c r="G1450" s="375"/>
      <c r="H1450" s="375"/>
      <c r="I1450" s="375"/>
      <c r="J1450" s="375"/>
      <c r="K1450" s="375"/>
    </row>
    <row r="1451" spans="1:11" ht="12.75">
      <c r="A1451" s="375"/>
      <c r="B1451" s="375"/>
      <c r="C1451" s="375"/>
      <c r="D1451" s="375"/>
      <c r="E1451" s="375"/>
      <c r="F1451" s="375"/>
      <c r="G1451" s="375"/>
      <c r="H1451" s="375"/>
      <c r="I1451" s="375"/>
      <c r="J1451" s="375"/>
      <c r="K1451" s="375"/>
    </row>
    <row r="1452" spans="1:11" ht="12.75">
      <c r="A1452" s="375"/>
      <c r="B1452" s="375"/>
      <c r="C1452" s="375"/>
      <c r="D1452" s="375"/>
      <c r="E1452" s="375"/>
      <c r="F1452" s="375"/>
      <c r="G1452" s="375"/>
      <c r="H1452" s="375"/>
      <c r="I1452" s="375"/>
      <c r="J1452" s="375"/>
      <c r="K1452" s="375"/>
    </row>
    <row r="1453" spans="1:11" ht="12.75">
      <c r="A1453" s="375"/>
      <c r="B1453" s="375"/>
      <c r="C1453" s="375"/>
      <c r="D1453" s="375"/>
      <c r="E1453" s="375"/>
      <c r="F1453" s="375"/>
      <c r="G1453" s="375"/>
      <c r="H1453" s="375"/>
      <c r="I1453" s="375"/>
      <c r="J1453" s="375"/>
      <c r="K1453" s="375"/>
    </row>
    <row r="1454" spans="1:11" ht="12.75">
      <c r="A1454" s="375"/>
      <c r="B1454" s="375"/>
      <c r="C1454" s="375"/>
      <c r="D1454" s="375"/>
      <c r="E1454" s="375"/>
      <c r="F1454" s="375"/>
      <c r="G1454" s="375"/>
      <c r="H1454" s="375"/>
      <c r="I1454" s="375"/>
      <c r="J1454" s="375"/>
      <c r="K1454" s="375"/>
    </row>
    <row r="1455" spans="1:11" ht="12.75">
      <c r="A1455" s="375"/>
      <c r="B1455" s="375"/>
      <c r="C1455" s="375"/>
      <c r="D1455" s="375"/>
      <c r="E1455" s="375"/>
      <c r="F1455" s="375"/>
      <c r="G1455" s="375"/>
      <c r="H1455" s="375"/>
      <c r="I1455" s="375"/>
      <c r="J1455" s="375"/>
      <c r="K1455" s="375"/>
    </row>
    <row r="1456" spans="1:11" ht="12.75">
      <c r="A1456" s="375"/>
      <c r="B1456" s="375"/>
      <c r="C1456" s="375"/>
      <c r="D1456" s="375"/>
      <c r="E1456" s="375"/>
      <c r="F1456" s="375"/>
      <c r="G1456" s="375"/>
      <c r="H1456" s="375"/>
      <c r="I1456" s="375"/>
      <c r="J1456" s="375"/>
      <c r="K1456" s="375"/>
    </row>
    <row r="1457" spans="1:11" ht="12.75">
      <c r="A1457" s="375"/>
      <c r="B1457" s="375"/>
      <c r="C1457" s="375"/>
      <c r="D1457" s="375"/>
      <c r="E1457" s="375"/>
      <c r="F1457" s="375"/>
      <c r="G1457" s="375"/>
      <c r="H1457" s="375"/>
      <c r="I1457" s="375"/>
      <c r="J1457" s="375"/>
      <c r="K1457" s="375"/>
    </row>
    <row r="1458" spans="1:11" ht="12.75">
      <c r="A1458" s="375"/>
      <c r="B1458" s="375"/>
      <c r="C1458" s="375"/>
      <c r="D1458" s="375"/>
      <c r="E1458" s="375"/>
      <c r="F1458" s="375"/>
      <c r="G1458" s="375"/>
      <c r="H1458" s="375"/>
      <c r="I1458" s="375"/>
      <c r="J1458" s="375"/>
      <c r="K1458" s="375"/>
    </row>
    <row r="1459" spans="1:11" ht="12.75">
      <c r="A1459" s="375"/>
      <c r="B1459" s="375"/>
      <c r="C1459" s="375"/>
      <c r="D1459" s="375"/>
      <c r="E1459" s="375"/>
      <c r="F1459" s="375"/>
      <c r="G1459" s="375"/>
      <c r="H1459" s="375"/>
      <c r="I1459" s="375"/>
      <c r="J1459" s="375"/>
      <c r="K1459" s="375"/>
    </row>
    <row r="1460" spans="1:11" ht="12.75">
      <c r="A1460" s="375"/>
      <c r="B1460" s="375"/>
      <c r="C1460" s="375"/>
      <c r="D1460" s="375"/>
      <c r="E1460" s="375"/>
      <c r="F1460" s="375"/>
      <c r="G1460" s="375"/>
      <c r="H1460" s="375"/>
      <c r="I1460" s="375"/>
      <c r="J1460" s="375"/>
      <c r="K1460" s="375"/>
    </row>
    <row r="1461" spans="1:11" ht="12.75">
      <c r="A1461" s="375"/>
      <c r="B1461" s="375"/>
      <c r="C1461" s="375"/>
      <c r="D1461" s="375"/>
      <c r="E1461" s="375"/>
      <c r="F1461" s="375"/>
      <c r="G1461" s="375"/>
      <c r="H1461" s="375"/>
      <c r="I1461" s="375"/>
      <c r="J1461" s="375"/>
      <c r="K1461" s="375"/>
    </row>
    <row r="1462" spans="1:11" ht="12.75">
      <c r="A1462" s="375"/>
      <c r="B1462" s="375"/>
      <c r="C1462" s="375"/>
      <c r="D1462" s="375"/>
      <c r="E1462" s="375"/>
      <c r="F1462" s="375"/>
      <c r="G1462" s="375"/>
      <c r="H1462" s="375"/>
      <c r="I1462" s="375"/>
      <c r="J1462" s="375"/>
      <c r="K1462" s="375"/>
    </row>
    <row r="1463" spans="1:11" ht="12.75">
      <c r="A1463" s="375"/>
      <c r="B1463" s="375"/>
      <c r="C1463" s="375"/>
      <c r="D1463" s="375"/>
      <c r="E1463" s="375"/>
      <c r="F1463" s="375"/>
      <c r="G1463" s="375"/>
      <c r="H1463" s="375"/>
      <c r="I1463" s="375"/>
      <c r="J1463" s="375"/>
      <c r="K1463" s="375"/>
    </row>
    <row r="1464" spans="1:11" ht="12.75">
      <c r="A1464" s="375"/>
      <c r="B1464" s="375"/>
      <c r="C1464" s="375"/>
      <c r="D1464" s="375"/>
      <c r="E1464" s="375"/>
      <c r="F1464" s="375"/>
      <c r="G1464" s="375"/>
      <c r="H1464" s="375"/>
      <c r="I1464" s="375"/>
      <c r="J1464" s="375"/>
      <c r="K1464" s="375"/>
    </row>
    <row r="1465" spans="1:11" ht="12.75">
      <c r="A1465" s="375"/>
      <c r="B1465" s="375"/>
      <c r="C1465" s="375"/>
      <c r="D1465" s="375"/>
      <c r="E1465" s="375"/>
      <c r="F1465" s="375"/>
      <c r="G1465" s="375"/>
      <c r="H1465" s="375"/>
      <c r="I1465" s="375"/>
      <c r="J1465" s="375"/>
      <c r="K1465" s="375"/>
    </row>
    <row r="1466" spans="1:11" ht="12.75">
      <c r="A1466" s="375"/>
      <c r="B1466" s="375"/>
      <c r="C1466" s="375"/>
      <c r="D1466" s="375"/>
      <c r="E1466" s="375"/>
      <c r="F1466" s="375"/>
      <c r="G1466" s="375"/>
      <c r="H1466" s="375"/>
      <c r="I1466" s="375"/>
      <c r="J1466" s="375"/>
      <c r="K1466" s="375"/>
    </row>
    <row r="1467" spans="1:11" ht="12.75">
      <c r="A1467" s="375"/>
      <c r="B1467" s="375"/>
      <c r="C1467" s="375"/>
      <c r="D1467" s="375"/>
      <c r="E1467" s="375"/>
      <c r="F1467" s="375"/>
      <c r="G1467" s="375"/>
      <c r="H1467" s="375"/>
      <c r="I1467" s="375"/>
      <c r="J1467" s="375"/>
      <c r="K1467" s="375"/>
    </row>
    <row r="1468" spans="1:11" ht="12.75">
      <c r="A1468" s="375"/>
      <c r="B1468" s="375"/>
      <c r="C1468" s="375"/>
      <c r="D1468" s="375"/>
      <c r="E1468" s="375"/>
      <c r="F1468" s="375"/>
      <c r="G1468" s="375"/>
      <c r="H1468" s="375"/>
      <c r="I1468" s="375"/>
      <c r="J1468" s="375"/>
      <c r="K1468" s="375"/>
    </row>
    <row r="1469" spans="1:11" ht="12.75">
      <c r="A1469" s="375"/>
      <c r="B1469" s="375"/>
      <c r="C1469" s="375"/>
      <c r="D1469" s="375"/>
      <c r="E1469" s="375"/>
      <c r="F1469" s="375"/>
      <c r="G1469" s="375"/>
      <c r="H1469" s="375"/>
      <c r="I1469" s="375"/>
      <c r="J1469" s="375"/>
      <c r="K1469" s="375"/>
    </row>
    <row r="1470" spans="1:11" ht="12.75">
      <c r="A1470" s="375"/>
      <c r="B1470" s="375"/>
      <c r="C1470" s="375"/>
      <c r="D1470" s="375"/>
      <c r="E1470" s="375"/>
      <c r="F1470" s="375"/>
      <c r="G1470" s="375"/>
      <c r="H1470" s="375"/>
      <c r="I1470" s="375"/>
      <c r="J1470" s="375"/>
      <c r="K1470" s="375"/>
    </row>
    <row r="1471" spans="1:11" ht="12.75">
      <c r="A1471" s="375"/>
      <c r="B1471" s="375"/>
      <c r="C1471" s="375"/>
      <c r="D1471" s="375"/>
      <c r="E1471" s="375"/>
      <c r="F1471" s="375"/>
      <c r="G1471" s="375"/>
      <c r="H1471" s="375"/>
      <c r="I1471" s="375"/>
      <c r="J1471" s="375"/>
      <c r="K1471" s="375"/>
    </row>
    <row r="1472" spans="1:11" ht="12.75">
      <c r="A1472" s="375"/>
      <c r="B1472" s="375"/>
      <c r="C1472" s="375"/>
      <c r="D1472" s="375"/>
      <c r="E1472" s="375"/>
      <c r="F1472" s="375"/>
      <c r="G1472" s="375"/>
      <c r="H1472" s="375"/>
      <c r="I1472" s="375"/>
      <c r="J1472" s="375"/>
      <c r="K1472" s="375"/>
    </row>
    <row r="1473" spans="1:11" ht="12.75">
      <c r="A1473" s="375"/>
      <c r="B1473" s="375"/>
      <c r="C1473" s="375"/>
      <c r="D1473" s="375"/>
      <c r="E1473" s="375"/>
      <c r="F1473" s="375"/>
      <c r="G1473" s="375"/>
      <c r="H1473" s="375"/>
      <c r="I1473" s="375"/>
      <c r="J1473" s="375"/>
      <c r="K1473" s="375"/>
    </row>
    <row r="1474" spans="1:11" ht="12.75">
      <c r="A1474" s="375"/>
      <c r="B1474" s="375"/>
      <c r="C1474" s="375"/>
      <c r="D1474" s="375"/>
      <c r="E1474" s="375"/>
      <c r="F1474" s="375"/>
      <c r="G1474" s="375"/>
      <c r="H1474" s="375"/>
      <c r="I1474" s="375"/>
      <c r="J1474" s="375"/>
      <c r="K1474" s="375"/>
    </row>
    <row r="1475" spans="1:11" ht="12.75">
      <c r="A1475" s="375"/>
      <c r="B1475" s="375"/>
      <c r="C1475" s="375"/>
      <c r="D1475" s="375"/>
      <c r="E1475" s="375"/>
      <c r="F1475" s="375"/>
      <c r="G1475" s="375"/>
      <c r="H1475" s="375"/>
      <c r="I1475" s="375"/>
      <c r="J1475" s="375"/>
      <c r="K1475" s="375"/>
    </row>
    <row r="1476" spans="1:11" ht="12.75">
      <c r="A1476" s="375"/>
      <c r="B1476" s="375"/>
      <c r="C1476" s="375"/>
      <c r="D1476" s="375"/>
      <c r="E1476" s="375"/>
      <c r="F1476" s="375"/>
      <c r="G1476" s="375"/>
      <c r="H1476" s="375"/>
      <c r="I1476" s="375"/>
      <c r="J1476" s="375"/>
      <c r="K1476" s="375"/>
    </row>
    <row r="1477" spans="1:11" ht="12.75">
      <c r="A1477" s="375"/>
      <c r="B1477" s="375"/>
      <c r="C1477" s="375"/>
      <c r="D1477" s="375"/>
      <c r="E1477" s="375"/>
      <c r="F1477" s="375"/>
      <c r="G1477" s="375"/>
      <c r="H1477" s="375"/>
      <c r="I1477" s="375"/>
      <c r="J1477" s="375"/>
      <c r="K1477" s="375"/>
    </row>
    <row r="1478" spans="1:11" ht="12.75">
      <c r="A1478" s="375"/>
      <c r="B1478" s="375"/>
      <c r="C1478" s="375"/>
      <c r="D1478" s="375"/>
      <c r="E1478" s="375"/>
      <c r="F1478" s="375"/>
      <c r="G1478" s="375"/>
      <c r="H1478" s="375"/>
      <c r="I1478" s="375"/>
      <c r="J1478" s="375"/>
      <c r="K1478" s="375"/>
    </row>
    <row r="1479" spans="1:11" ht="12.75">
      <c r="A1479" s="375"/>
      <c r="B1479" s="375"/>
      <c r="C1479" s="375"/>
      <c r="D1479" s="375"/>
      <c r="E1479" s="375"/>
      <c r="F1479" s="375"/>
      <c r="G1479" s="375"/>
      <c r="H1479" s="375"/>
      <c r="I1479" s="375"/>
      <c r="J1479" s="375"/>
      <c r="K1479" s="375"/>
    </row>
    <row r="1480" spans="1:11" ht="12.75">
      <c r="A1480" s="375"/>
      <c r="B1480" s="375"/>
      <c r="C1480" s="375"/>
      <c r="D1480" s="375"/>
      <c r="E1480" s="375"/>
      <c r="F1480" s="375"/>
      <c r="G1480" s="375"/>
      <c r="H1480" s="375"/>
      <c r="I1480" s="375"/>
      <c r="J1480" s="375"/>
      <c r="K1480" s="375"/>
    </row>
    <row r="1481" spans="1:11" ht="12.75">
      <c r="A1481" s="375"/>
      <c r="B1481" s="375"/>
      <c r="C1481" s="375"/>
      <c r="D1481" s="375"/>
      <c r="E1481" s="375"/>
      <c r="F1481" s="375"/>
      <c r="G1481" s="375"/>
      <c r="H1481" s="375"/>
      <c r="I1481" s="375"/>
      <c r="J1481" s="375"/>
      <c r="K1481" s="375"/>
    </row>
    <row r="1482" spans="1:11" ht="12.75">
      <c r="A1482" s="375"/>
      <c r="B1482" s="375"/>
      <c r="C1482" s="375"/>
      <c r="D1482" s="375"/>
      <c r="E1482" s="375"/>
      <c r="F1482" s="375"/>
      <c r="G1482" s="375"/>
      <c r="H1482" s="375"/>
      <c r="I1482" s="375"/>
      <c r="J1482" s="375"/>
      <c r="K1482" s="375"/>
    </row>
    <row r="1483" spans="1:11" ht="12.75">
      <c r="A1483" s="375"/>
      <c r="B1483" s="375"/>
      <c r="C1483" s="375"/>
      <c r="D1483" s="375"/>
      <c r="E1483" s="375"/>
      <c r="F1483" s="375"/>
      <c r="G1483" s="375"/>
      <c r="H1483" s="375"/>
      <c r="I1483" s="375"/>
      <c r="J1483" s="375"/>
      <c r="K1483" s="375"/>
    </row>
    <row r="1484" spans="1:11" ht="12.75">
      <c r="A1484" s="375"/>
      <c r="B1484" s="375"/>
      <c r="C1484" s="375"/>
      <c r="D1484" s="375"/>
      <c r="E1484" s="375"/>
      <c r="F1484" s="375"/>
      <c r="G1484" s="375"/>
      <c r="H1484" s="375"/>
      <c r="I1484" s="375"/>
      <c r="J1484" s="375"/>
      <c r="K1484" s="375"/>
    </row>
    <row r="1485" spans="1:11" ht="12.75">
      <c r="A1485" s="375"/>
      <c r="B1485" s="375"/>
      <c r="C1485" s="375"/>
      <c r="D1485" s="375"/>
      <c r="E1485" s="375"/>
      <c r="F1485" s="375"/>
      <c r="G1485" s="375"/>
      <c r="H1485" s="375"/>
      <c r="I1485" s="375"/>
      <c r="J1485" s="375"/>
      <c r="K1485" s="375"/>
    </row>
    <row r="1486" spans="1:11" ht="12.75">
      <c r="A1486" s="375"/>
      <c r="B1486" s="375"/>
      <c r="C1486" s="375"/>
      <c r="D1486" s="375"/>
      <c r="E1486" s="375"/>
      <c r="F1486" s="375"/>
      <c r="G1486" s="375"/>
      <c r="H1486" s="375"/>
      <c r="I1486" s="375"/>
      <c r="J1486" s="375"/>
      <c r="K1486" s="375"/>
    </row>
    <row r="1487" spans="1:11" ht="12.75">
      <c r="A1487" s="375"/>
      <c r="B1487" s="375"/>
      <c r="C1487" s="375"/>
      <c r="D1487" s="375"/>
      <c r="E1487" s="375"/>
      <c r="F1487" s="375"/>
      <c r="G1487" s="375"/>
      <c r="H1487" s="375"/>
      <c r="I1487" s="375"/>
      <c r="J1487" s="375"/>
      <c r="K1487" s="375"/>
    </row>
    <row r="1488" spans="1:11" ht="12.75">
      <c r="A1488" s="375"/>
      <c r="B1488" s="375"/>
      <c r="C1488" s="375"/>
      <c r="D1488" s="375"/>
      <c r="E1488" s="375"/>
      <c r="F1488" s="375"/>
      <c r="G1488" s="375"/>
      <c r="H1488" s="375"/>
      <c r="I1488" s="375"/>
      <c r="J1488" s="375"/>
      <c r="K1488" s="375"/>
    </row>
    <row r="1489" spans="1:11" ht="12.75">
      <c r="A1489" s="375"/>
      <c r="B1489" s="375"/>
      <c r="C1489" s="375"/>
      <c r="D1489" s="375"/>
      <c r="E1489" s="375"/>
      <c r="F1489" s="375"/>
      <c r="G1489" s="375"/>
      <c r="H1489" s="375"/>
      <c r="I1489" s="375"/>
      <c r="J1489" s="375"/>
      <c r="K1489" s="375"/>
    </row>
    <row r="1490" spans="1:11" ht="12.75">
      <c r="A1490" s="375"/>
      <c r="B1490" s="375"/>
      <c r="C1490" s="375"/>
      <c r="D1490" s="375"/>
      <c r="E1490" s="375"/>
      <c r="F1490" s="375"/>
      <c r="G1490" s="375"/>
      <c r="H1490" s="375"/>
      <c r="I1490" s="375"/>
      <c r="J1490" s="375"/>
      <c r="K1490" s="375"/>
    </row>
    <row r="1491" spans="1:11" ht="12.75">
      <c r="A1491" s="375"/>
      <c r="B1491" s="375"/>
      <c r="C1491" s="375"/>
      <c r="D1491" s="375"/>
      <c r="E1491" s="375"/>
      <c r="F1491" s="375"/>
      <c r="G1491" s="375"/>
      <c r="H1491" s="375"/>
      <c r="I1491" s="375"/>
      <c r="J1491" s="375"/>
      <c r="K1491" s="375"/>
    </row>
    <row r="1492" spans="1:11" ht="12.75">
      <c r="A1492" s="375"/>
      <c r="B1492" s="375"/>
      <c r="C1492" s="375"/>
      <c r="D1492" s="375"/>
      <c r="E1492" s="375"/>
      <c r="F1492" s="375"/>
      <c r="G1492" s="375"/>
      <c r="H1492" s="375"/>
      <c r="I1492" s="375"/>
      <c r="J1492" s="375"/>
      <c r="K1492" s="375"/>
    </row>
    <row r="1493" spans="1:11" ht="12.75">
      <c r="A1493" s="375"/>
      <c r="B1493" s="375"/>
      <c r="C1493" s="375"/>
      <c r="D1493" s="375"/>
      <c r="E1493" s="375"/>
      <c r="F1493" s="375"/>
      <c r="G1493" s="375"/>
      <c r="H1493" s="375"/>
      <c r="I1493" s="375"/>
      <c r="J1493" s="375"/>
      <c r="K1493" s="375"/>
    </row>
    <row r="1494" spans="1:11" ht="12.75">
      <c r="A1494" s="375"/>
      <c r="B1494" s="375"/>
      <c r="C1494" s="375"/>
      <c r="D1494" s="375"/>
      <c r="E1494" s="375"/>
      <c r="F1494" s="375"/>
      <c r="G1494" s="375"/>
      <c r="H1494" s="375"/>
      <c r="I1494" s="375"/>
      <c r="J1494" s="375"/>
      <c r="K1494" s="375"/>
    </row>
    <row r="1495" spans="1:11" ht="12.75">
      <c r="A1495" s="375"/>
      <c r="B1495" s="375"/>
      <c r="C1495" s="375"/>
      <c r="D1495" s="375"/>
      <c r="E1495" s="375"/>
      <c r="F1495" s="375"/>
      <c r="G1495" s="375"/>
      <c r="H1495" s="375"/>
      <c r="I1495" s="375"/>
      <c r="J1495" s="375"/>
      <c r="K1495" s="375"/>
    </row>
    <row r="1496" spans="1:11" ht="12.75">
      <c r="A1496" s="375"/>
      <c r="B1496" s="375"/>
      <c r="C1496" s="375"/>
      <c r="D1496" s="375"/>
      <c r="E1496" s="375"/>
      <c r="F1496" s="375"/>
      <c r="G1496" s="375"/>
      <c r="H1496" s="375"/>
      <c r="I1496" s="375"/>
      <c r="J1496" s="375"/>
      <c r="K1496" s="375"/>
    </row>
    <row r="1497" spans="1:11" ht="12.75">
      <c r="A1497" s="375"/>
      <c r="B1497" s="375"/>
      <c r="C1497" s="375"/>
      <c r="D1497" s="375"/>
      <c r="E1497" s="375"/>
      <c r="F1497" s="375"/>
      <c r="G1497" s="375"/>
      <c r="H1497" s="375"/>
      <c r="I1497" s="375"/>
      <c r="J1497" s="375"/>
      <c r="K1497" s="375"/>
    </row>
    <row r="1498" spans="1:11" ht="12.75">
      <c r="A1498" s="375"/>
      <c r="B1498" s="375"/>
      <c r="C1498" s="375"/>
      <c r="D1498" s="375"/>
      <c r="E1498" s="375"/>
      <c r="F1498" s="375"/>
      <c r="G1498" s="375"/>
      <c r="H1498" s="375"/>
      <c r="I1498" s="375"/>
      <c r="J1498" s="375"/>
      <c r="K1498" s="375"/>
    </row>
    <row r="1499" spans="1:11" ht="12.75">
      <c r="A1499" s="375"/>
      <c r="B1499" s="375"/>
      <c r="C1499" s="375"/>
      <c r="D1499" s="375"/>
      <c r="E1499" s="375"/>
      <c r="F1499" s="375"/>
      <c r="G1499" s="375"/>
      <c r="H1499" s="375"/>
      <c r="I1499" s="375"/>
      <c r="J1499" s="375"/>
      <c r="K1499" s="375"/>
    </row>
    <row r="1500" spans="1:11" ht="12.75">
      <c r="A1500" s="375"/>
      <c r="B1500" s="375"/>
      <c r="C1500" s="375"/>
      <c r="D1500" s="375"/>
      <c r="E1500" s="375"/>
      <c r="F1500" s="375"/>
      <c r="G1500" s="375"/>
      <c r="H1500" s="375"/>
      <c r="I1500" s="375"/>
      <c r="J1500" s="375"/>
      <c r="K1500" s="375"/>
    </row>
    <row r="1501" spans="1:11" ht="12.75">
      <c r="A1501" s="375"/>
      <c r="B1501" s="375"/>
      <c r="C1501" s="375"/>
      <c r="D1501" s="375"/>
      <c r="E1501" s="375"/>
      <c r="F1501" s="375"/>
      <c r="G1501" s="375"/>
      <c r="H1501" s="375"/>
      <c r="I1501" s="375"/>
      <c r="J1501" s="375"/>
      <c r="K1501" s="375"/>
    </row>
    <row r="1502" spans="1:11" ht="12.75">
      <c r="A1502" s="375"/>
      <c r="B1502" s="375"/>
      <c r="C1502" s="375"/>
      <c r="D1502" s="375"/>
      <c r="E1502" s="375"/>
      <c r="F1502" s="375"/>
      <c r="G1502" s="375"/>
      <c r="H1502" s="375"/>
      <c r="I1502" s="375"/>
      <c r="J1502" s="375"/>
      <c r="K1502" s="375"/>
    </row>
    <row r="1503" spans="1:11" ht="12.75">
      <c r="A1503" s="375"/>
      <c r="B1503" s="375"/>
      <c r="C1503" s="375"/>
      <c r="D1503" s="375"/>
      <c r="E1503" s="375"/>
      <c r="F1503" s="375"/>
      <c r="G1503" s="375"/>
      <c r="H1503" s="375"/>
      <c r="I1503" s="375"/>
      <c r="J1503" s="375"/>
      <c r="K1503" s="375"/>
    </row>
    <row r="1504" spans="1:11" ht="12.75">
      <c r="A1504" s="375"/>
      <c r="B1504" s="375"/>
      <c r="C1504" s="375"/>
      <c r="D1504" s="375"/>
      <c r="E1504" s="375"/>
      <c r="F1504" s="375"/>
      <c r="G1504" s="375"/>
      <c r="H1504" s="375"/>
      <c r="I1504" s="375"/>
      <c r="J1504" s="375"/>
      <c r="K1504" s="375"/>
    </row>
    <row r="1505" spans="1:11" ht="12.75">
      <c r="A1505" s="375"/>
      <c r="B1505" s="375"/>
      <c r="C1505" s="375"/>
      <c r="D1505" s="375"/>
      <c r="E1505" s="375"/>
      <c r="F1505" s="375"/>
      <c r="G1505" s="375"/>
      <c r="H1505" s="375"/>
      <c r="I1505" s="375"/>
      <c r="J1505" s="375"/>
      <c r="K1505" s="375"/>
    </row>
    <row r="1506" spans="1:11" ht="12.75">
      <c r="A1506" s="375"/>
      <c r="B1506" s="375"/>
      <c r="C1506" s="375"/>
      <c r="D1506" s="375"/>
      <c r="E1506" s="375"/>
      <c r="F1506" s="375"/>
      <c r="G1506" s="375"/>
      <c r="H1506" s="375"/>
      <c r="I1506" s="375"/>
      <c r="J1506" s="375"/>
      <c r="K1506" s="375"/>
    </row>
    <row r="1507" spans="1:11" ht="12.75">
      <c r="A1507" s="375"/>
      <c r="B1507" s="375"/>
      <c r="C1507" s="375"/>
      <c r="D1507" s="375"/>
      <c r="E1507" s="375"/>
      <c r="F1507" s="375"/>
      <c r="G1507" s="375"/>
      <c r="H1507" s="375"/>
      <c r="I1507" s="375"/>
      <c r="J1507" s="375"/>
      <c r="K1507" s="375"/>
    </row>
    <row r="1508" spans="1:11" ht="12.75">
      <c r="A1508" s="375"/>
      <c r="B1508" s="375"/>
      <c r="C1508" s="375"/>
      <c r="D1508" s="375"/>
      <c r="E1508" s="375"/>
      <c r="F1508" s="375"/>
      <c r="G1508" s="375"/>
      <c r="H1508" s="375"/>
      <c r="I1508" s="375"/>
      <c r="J1508" s="375"/>
      <c r="K1508" s="375"/>
    </row>
    <row r="1509" spans="1:11" ht="12.75">
      <c r="A1509" s="375"/>
      <c r="B1509" s="375"/>
      <c r="C1509" s="375"/>
      <c r="D1509" s="375"/>
      <c r="E1509" s="375"/>
      <c r="F1509" s="375"/>
      <c r="G1509" s="375"/>
      <c r="H1509" s="375"/>
      <c r="I1509" s="375"/>
      <c r="J1509" s="375"/>
      <c r="K1509" s="375"/>
    </row>
    <row r="1510" spans="1:11" ht="12.75">
      <c r="A1510" s="375"/>
      <c r="B1510" s="375"/>
      <c r="C1510" s="375"/>
      <c r="D1510" s="375"/>
      <c r="E1510" s="375"/>
      <c r="F1510" s="375"/>
      <c r="G1510" s="375"/>
      <c r="H1510" s="375"/>
      <c r="I1510" s="375"/>
      <c r="J1510" s="375"/>
      <c r="K1510" s="375"/>
    </row>
    <row r="1511" spans="1:11" ht="12.75">
      <c r="A1511" s="375"/>
      <c r="B1511" s="375"/>
      <c r="C1511" s="375"/>
      <c r="D1511" s="375"/>
      <c r="E1511" s="375"/>
      <c r="F1511" s="375"/>
      <c r="G1511" s="375"/>
      <c r="H1511" s="375"/>
      <c r="I1511" s="375"/>
      <c r="J1511" s="375"/>
      <c r="K1511" s="375"/>
    </row>
    <row r="1512" spans="1:11" ht="12.75">
      <c r="A1512" s="375"/>
      <c r="B1512" s="375"/>
      <c r="C1512" s="375"/>
      <c r="D1512" s="375"/>
      <c r="E1512" s="375"/>
      <c r="F1512" s="375"/>
      <c r="G1512" s="375"/>
      <c r="H1512" s="375"/>
      <c r="I1512" s="375"/>
      <c r="J1512" s="375"/>
      <c r="K1512" s="375"/>
    </row>
    <row r="1513" spans="1:11" ht="12.75">
      <c r="A1513" s="375"/>
      <c r="B1513" s="375"/>
      <c r="C1513" s="375"/>
      <c r="D1513" s="375"/>
      <c r="E1513" s="375"/>
      <c r="F1513" s="375"/>
      <c r="G1513" s="375"/>
      <c r="H1513" s="375"/>
      <c r="I1513" s="375"/>
      <c r="J1513" s="375"/>
      <c r="K1513" s="375"/>
    </row>
    <row r="1514" spans="1:11" ht="12.75">
      <c r="A1514" s="375"/>
      <c r="B1514" s="375"/>
      <c r="C1514" s="375"/>
      <c r="D1514" s="375"/>
      <c r="E1514" s="375"/>
      <c r="F1514" s="375"/>
      <c r="G1514" s="375"/>
      <c r="H1514" s="375"/>
      <c r="I1514" s="375"/>
      <c r="J1514" s="375"/>
      <c r="K1514" s="375"/>
    </row>
    <row r="1515" spans="1:11" ht="12.75">
      <c r="A1515" s="375"/>
      <c r="B1515" s="375"/>
      <c r="C1515" s="375"/>
      <c r="D1515" s="375"/>
      <c r="E1515" s="375"/>
      <c r="F1515" s="375"/>
      <c r="G1515" s="375"/>
      <c r="H1515" s="375"/>
      <c r="I1515" s="375"/>
      <c r="J1515" s="375"/>
      <c r="K1515" s="375"/>
    </row>
    <row r="1516" spans="1:11" ht="12.75">
      <c r="A1516" s="375"/>
      <c r="B1516" s="375"/>
      <c r="C1516" s="375"/>
      <c r="D1516" s="375"/>
      <c r="E1516" s="375"/>
      <c r="F1516" s="375"/>
      <c r="G1516" s="375"/>
      <c r="H1516" s="375"/>
      <c r="I1516" s="375"/>
      <c r="J1516" s="375"/>
      <c r="K1516" s="375"/>
    </row>
    <row r="1517" spans="1:11" ht="12.75">
      <c r="A1517" s="375"/>
      <c r="B1517" s="375"/>
      <c r="C1517" s="375"/>
      <c r="D1517" s="375"/>
      <c r="E1517" s="375"/>
      <c r="F1517" s="375"/>
      <c r="G1517" s="375"/>
      <c r="H1517" s="375"/>
      <c r="I1517" s="375"/>
      <c r="J1517" s="375"/>
      <c r="K1517" s="375"/>
    </row>
    <row r="1518" spans="1:11" ht="12.75">
      <c r="A1518" s="375"/>
      <c r="B1518" s="375"/>
      <c r="C1518" s="375"/>
      <c r="D1518" s="375"/>
      <c r="E1518" s="375"/>
      <c r="F1518" s="375"/>
      <c r="G1518" s="375"/>
      <c r="H1518" s="375"/>
      <c r="I1518" s="375"/>
      <c r="J1518" s="375"/>
      <c r="K1518" s="375"/>
    </row>
    <row r="1519" spans="1:11" ht="12.75">
      <c r="A1519" s="375"/>
      <c r="B1519" s="375"/>
      <c r="C1519" s="375"/>
      <c r="D1519" s="375"/>
      <c r="E1519" s="375"/>
      <c r="F1519" s="375"/>
      <c r="G1519" s="375"/>
      <c r="H1519" s="375"/>
      <c r="I1519" s="375"/>
      <c r="J1519" s="375"/>
      <c r="K1519" s="375"/>
    </row>
    <row r="1520" spans="1:11" ht="12.75">
      <c r="A1520" s="375"/>
      <c r="B1520" s="375"/>
      <c r="C1520" s="375"/>
      <c r="D1520" s="375"/>
      <c r="E1520" s="375"/>
      <c r="F1520" s="375"/>
      <c r="G1520" s="375"/>
      <c r="H1520" s="375"/>
      <c r="I1520" s="375"/>
      <c r="J1520" s="375"/>
      <c r="K1520" s="375"/>
    </row>
    <row r="1521" spans="1:11" ht="12.75">
      <c r="A1521" s="375"/>
      <c r="B1521" s="375"/>
      <c r="C1521" s="375"/>
      <c r="D1521" s="375"/>
      <c r="E1521" s="375"/>
      <c r="F1521" s="375"/>
      <c r="G1521" s="375"/>
      <c r="H1521" s="375"/>
      <c r="I1521" s="375"/>
      <c r="J1521" s="375"/>
      <c r="K1521" s="375"/>
    </row>
    <row r="1522" spans="1:11" ht="12.75">
      <c r="A1522" s="375"/>
      <c r="B1522" s="375"/>
      <c r="C1522" s="375"/>
      <c r="D1522" s="375"/>
      <c r="E1522" s="375"/>
      <c r="F1522" s="375"/>
      <c r="G1522" s="375"/>
      <c r="H1522" s="375"/>
      <c r="I1522" s="375"/>
      <c r="J1522" s="375"/>
      <c r="K1522" s="375"/>
    </row>
    <row r="1523" spans="1:11" ht="12.75">
      <c r="A1523" s="375"/>
      <c r="B1523" s="375"/>
      <c r="C1523" s="375"/>
      <c r="D1523" s="375"/>
      <c r="E1523" s="375"/>
      <c r="F1523" s="375"/>
      <c r="G1523" s="375"/>
      <c r="H1523" s="375"/>
      <c r="I1523" s="375"/>
      <c r="J1523" s="375"/>
      <c r="K1523" s="375"/>
    </row>
    <row r="1524" spans="1:11" ht="12.75">
      <c r="A1524" s="375"/>
      <c r="B1524" s="375"/>
      <c r="C1524" s="375"/>
      <c r="D1524" s="375"/>
      <c r="E1524" s="375"/>
      <c r="F1524" s="375"/>
      <c r="G1524" s="375"/>
      <c r="H1524" s="375"/>
      <c r="I1524" s="375"/>
      <c r="J1524" s="375"/>
      <c r="K1524" s="375"/>
    </row>
    <row r="1525" spans="1:11" ht="12.75">
      <c r="A1525" s="375"/>
      <c r="B1525" s="375"/>
      <c r="C1525" s="375"/>
      <c r="D1525" s="375"/>
      <c r="E1525" s="375"/>
      <c r="F1525" s="375"/>
      <c r="G1525" s="375"/>
      <c r="H1525" s="375"/>
      <c r="I1525" s="375"/>
      <c r="J1525" s="375"/>
      <c r="K1525" s="375"/>
    </row>
    <row r="1526" spans="1:11" ht="12.75">
      <c r="A1526" s="375"/>
      <c r="B1526" s="375"/>
      <c r="C1526" s="375"/>
      <c r="D1526" s="375"/>
      <c r="E1526" s="375"/>
      <c r="F1526" s="375"/>
      <c r="G1526" s="375"/>
      <c r="H1526" s="375"/>
      <c r="I1526" s="375"/>
      <c r="J1526" s="375"/>
      <c r="K1526" s="375"/>
    </row>
    <row r="1527" spans="1:11" ht="12.75">
      <c r="A1527" s="375"/>
      <c r="B1527" s="375"/>
      <c r="C1527" s="375"/>
      <c r="D1527" s="375"/>
      <c r="E1527" s="375"/>
      <c r="F1527" s="375"/>
      <c r="G1527" s="375"/>
      <c r="H1527" s="375"/>
      <c r="I1527" s="375"/>
      <c r="J1527" s="375"/>
      <c r="K1527" s="375"/>
    </row>
    <row r="1528" spans="1:11" ht="12.75">
      <c r="A1528" s="375"/>
      <c r="B1528" s="375"/>
      <c r="C1528" s="375"/>
      <c r="D1528" s="375"/>
      <c r="E1528" s="375"/>
      <c r="F1528" s="375"/>
      <c r="G1528" s="375"/>
      <c r="H1528" s="375"/>
      <c r="I1528" s="375"/>
      <c r="J1528" s="375"/>
      <c r="K1528" s="375"/>
    </row>
    <row r="1529" spans="1:11" ht="12.75">
      <c r="A1529" s="375"/>
      <c r="B1529" s="375"/>
      <c r="C1529" s="375"/>
      <c r="D1529" s="375"/>
      <c r="E1529" s="375"/>
      <c r="F1529" s="375"/>
      <c r="G1529" s="375"/>
      <c r="H1529" s="375"/>
      <c r="I1529" s="375"/>
      <c r="J1529" s="375"/>
      <c r="K1529" s="375"/>
    </row>
    <row r="1530" spans="1:11" ht="12.75">
      <c r="A1530" s="375"/>
      <c r="B1530" s="375"/>
      <c r="C1530" s="375"/>
      <c r="D1530" s="375"/>
      <c r="E1530" s="375"/>
      <c r="F1530" s="375"/>
      <c r="G1530" s="375"/>
      <c r="H1530" s="375"/>
      <c r="I1530" s="375"/>
      <c r="J1530" s="375"/>
      <c r="K1530" s="375"/>
    </row>
    <row r="1531" spans="1:11" ht="12.75">
      <c r="A1531" s="375"/>
      <c r="B1531" s="375"/>
      <c r="C1531" s="375"/>
      <c r="D1531" s="375"/>
      <c r="E1531" s="375"/>
      <c r="F1531" s="375"/>
      <c r="G1531" s="375"/>
      <c r="H1531" s="375"/>
      <c r="I1531" s="375"/>
      <c r="J1531" s="375"/>
      <c r="K1531" s="375"/>
    </row>
    <row r="1532" spans="1:11" ht="12.75">
      <c r="A1532" s="375"/>
      <c r="B1532" s="375"/>
      <c r="C1532" s="375"/>
      <c r="D1532" s="375"/>
      <c r="E1532" s="375"/>
      <c r="F1532" s="375"/>
      <c r="G1532" s="375"/>
      <c r="H1532" s="375"/>
      <c r="I1532" s="375"/>
      <c r="J1532" s="375"/>
      <c r="K1532" s="375"/>
    </row>
    <row r="1533" spans="1:11" ht="12.75">
      <c r="A1533" s="375"/>
      <c r="B1533" s="375"/>
      <c r="C1533" s="375"/>
      <c r="D1533" s="375"/>
      <c r="E1533" s="375"/>
      <c r="F1533" s="375"/>
      <c r="G1533" s="375"/>
      <c r="H1533" s="375"/>
      <c r="I1533" s="375"/>
      <c r="J1533" s="375"/>
      <c r="K1533" s="375"/>
    </row>
    <row r="1534" spans="1:11" ht="12.75">
      <c r="A1534" s="375"/>
      <c r="B1534" s="375"/>
      <c r="C1534" s="375"/>
      <c r="D1534" s="375"/>
      <c r="E1534" s="375"/>
      <c r="F1534" s="375"/>
      <c r="G1534" s="375"/>
      <c r="H1534" s="375"/>
      <c r="I1534" s="375"/>
      <c r="J1534" s="375"/>
      <c r="K1534" s="375"/>
    </row>
    <row r="1535" spans="1:11" ht="12.75">
      <c r="A1535" s="375"/>
      <c r="B1535" s="375"/>
      <c r="C1535" s="375"/>
      <c r="D1535" s="375"/>
      <c r="E1535" s="375"/>
      <c r="F1535" s="375"/>
      <c r="G1535" s="375"/>
      <c r="H1535" s="375"/>
      <c r="I1535" s="375"/>
      <c r="J1535" s="375"/>
      <c r="K1535" s="375"/>
    </row>
    <row r="1536" spans="1:11" ht="12.75">
      <c r="A1536" s="375"/>
      <c r="B1536" s="375"/>
      <c r="C1536" s="375"/>
      <c r="D1536" s="375"/>
      <c r="E1536" s="375"/>
      <c r="F1536" s="375"/>
      <c r="G1536" s="375"/>
      <c r="H1536" s="375"/>
      <c r="I1536" s="375"/>
      <c r="J1536" s="375"/>
      <c r="K1536" s="375"/>
    </row>
    <row r="1537" spans="1:11" ht="12.75">
      <c r="A1537" s="375"/>
      <c r="B1537" s="375"/>
      <c r="C1537" s="375"/>
      <c r="D1537" s="375"/>
      <c r="E1537" s="375"/>
      <c r="F1537" s="375"/>
      <c r="G1537" s="375"/>
      <c r="H1537" s="375"/>
      <c r="I1537" s="375"/>
      <c r="J1537" s="375"/>
      <c r="K1537" s="375"/>
    </row>
    <row r="1538" spans="1:11" ht="12.75">
      <c r="A1538" s="375"/>
      <c r="B1538" s="375"/>
      <c r="C1538" s="375"/>
      <c r="D1538" s="375"/>
      <c r="E1538" s="375"/>
      <c r="F1538" s="375"/>
      <c r="G1538" s="375"/>
      <c r="H1538" s="375"/>
      <c r="I1538" s="375"/>
      <c r="J1538" s="375"/>
      <c r="K1538" s="375"/>
    </row>
    <row r="1539" spans="1:11" ht="12.75">
      <c r="A1539" s="375"/>
      <c r="B1539" s="375"/>
      <c r="C1539" s="375"/>
      <c r="D1539" s="375"/>
      <c r="E1539" s="375"/>
      <c r="F1539" s="375"/>
      <c r="G1539" s="375"/>
      <c r="H1539" s="375"/>
      <c r="I1539" s="375"/>
      <c r="J1539" s="375"/>
      <c r="K1539" s="375"/>
    </row>
    <row r="1540" spans="1:11" ht="12.75">
      <c r="A1540" s="375"/>
      <c r="B1540" s="375"/>
      <c r="C1540" s="375"/>
      <c r="D1540" s="375"/>
      <c r="E1540" s="375"/>
      <c r="F1540" s="375"/>
      <c r="G1540" s="375"/>
      <c r="H1540" s="375"/>
      <c r="I1540" s="375"/>
      <c r="J1540" s="375"/>
      <c r="K1540" s="375"/>
    </row>
    <row r="1541" spans="1:11" ht="12.75">
      <c r="A1541" s="375"/>
      <c r="B1541" s="375"/>
      <c r="C1541" s="375"/>
      <c r="D1541" s="375"/>
      <c r="E1541" s="375"/>
      <c r="F1541" s="375"/>
      <c r="G1541" s="375"/>
      <c r="H1541" s="375"/>
      <c r="I1541" s="375"/>
      <c r="J1541" s="375"/>
      <c r="K1541" s="375"/>
    </row>
    <row r="1542" spans="1:11" ht="12.75">
      <c r="A1542" s="375"/>
      <c r="B1542" s="375"/>
      <c r="C1542" s="375"/>
      <c r="D1542" s="375"/>
      <c r="E1542" s="375"/>
      <c r="F1542" s="375"/>
      <c r="G1542" s="375"/>
      <c r="H1542" s="375"/>
      <c r="I1542" s="375"/>
      <c r="J1542" s="375"/>
      <c r="K1542" s="375"/>
    </row>
    <row r="1543" spans="1:11" ht="12.75">
      <c r="A1543" s="375"/>
      <c r="B1543" s="375"/>
      <c r="C1543" s="375"/>
      <c r="D1543" s="375"/>
      <c r="E1543" s="375"/>
      <c r="F1543" s="375"/>
      <c r="G1543" s="375"/>
      <c r="H1543" s="375"/>
      <c r="I1543" s="375"/>
      <c r="J1543" s="375"/>
      <c r="K1543" s="375"/>
    </row>
    <row r="1544" spans="1:11" ht="12.75">
      <c r="A1544" s="375"/>
      <c r="B1544" s="375"/>
      <c r="C1544" s="375"/>
      <c r="D1544" s="375"/>
      <c r="E1544" s="375"/>
      <c r="F1544" s="375"/>
      <c r="G1544" s="375"/>
      <c r="H1544" s="375"/>
      <c r="I1544" s="375"/>
      <c r="J1544" s="375"/>
      <c r="K1544" s="375"/>
    </row>
    <row r="1545" spans="1:11" ht="12.75">
      <c r="A1545" s="375"/>
      <c r="B1545" s="375"/>
      <c r="C1545" s="375"/>
      <c r="D1545" s="375"/>
      <c r="E1545" s="375"/>
      <c r="F1545" s="375"/>
      <c r="G1545" s="375"/>
      <c r="H1545" s="375"/>
      <c r="I1545" s="375"/>
      <c r="J1545" s="375"/>
      <c r="K1545" s="375"/>
    </row>
    <row r="1546" spans="1:11" ht="12.75">
      <c r="A1546" s="375"/>
      <c r="B1546" s="375"/>
      <c r="C1546" s="375"/>
      <c r="D1546" s="375"/>
      <c r="E1546" s="375"/>
      <c r="F1546" s="375"/>
      <c r="G1546" s="375"/>
      <c r="H1546" s="375"/>
      <c r="I1546" s="375"/>
      <c r="J1546" s="375"/>
      <c r="K1546" s="375"/>
    </row>
    <row r="1547" spans="1:11" ht="12.75">
      <c r="A1547" s="375"/>
      <c r="B1547" s="375"/>
      <c r="C1547" s="375"/>
      <c r="D1547" s="375"/>
      <c r="E1547" s="375"/>
      <c r="F1547" s="375"/>
      <c r="G1547" s="375"/>
      <c r="H1547" s="375"/>
      <c r="I1547" s="375"/>
      <c r="J1547" s="375"/>
      <c r="K1547" s="375"/>
    </row>
    <row r="1548" spans="1:11" ht="12.75">
      <c r="A1548" s="375"/>
      <c r="B1548" s="375"/>
      <c r="C1548" s="375"/>
      <c r="D1548" s="375"/>
      <c r="E1548" s="375"/>
      <c r="F1548" s="375"/>
      <c r="G1548" s="375"/>
      <c r="H1548" s="375"/>
      <c r="I1548" s="375"/>
      <c r="J1548" s="375"/>
      <c r="K1548" s="375"/>
    </row>
    <row r="1549" spans="1:11" ht="12.75">
      <c r="A1549" s="375"/>
      <c r="B1549" s="375"/>
      <c r="C1549" s="375"/>
      <c r="D1549" s="375"/>
      <c r="E1549" s="375"/>
      <c r="F1549" s="375"/>
      <c r="G1549" s="375"/>
      <c r="H1549" s="375"/>
      <c r="I1549" s="375"/>
      <c r="J1549" s="375"/>
      <c r="K1549" s="375"/>
    </row>
    <row r="1550" spans="1:11" ht="12.75">
      <c r="A1550" s="375"/>
      <c r="B1550" s="375"/>
      <c r="C1550" s="375"/>
      <c r="D1550" s="375"/>
      <c r="E1550" s="375"/>
      <c r="F1550" s="375"/>
      <c r="G1550" s="375"/>
      <c r="H1550" s="375"/>
      <c r="I1550" s="375"/>
      <c r="J1550" s="375"/>
      <c r="K1550" s="375"/>
    </row>
    <row r="1551" spans="1:11" ht="12.75">
      <c r="A1551" s="375"/>
      <c r="B1551" s="375"/>
      <c r="C1551" s="375"/>
      <c r="D1551" s="375"/>
      <c r="E1551" s="375"/>
      <c r="F1551" s="375"/>
      <c r="G1551" s="375"/>
      <c r="H1551" s="375"/>
      <c r="I1551" s="375"/>
      <c r="J1551" s="375"/>
      <c r="K1551" s="375"/>
    </row>
    <row r="1552" spans="1:11" ht="12.75">
      <c r="A1552" s="375"/>
      <c r="B1552" s="375"/>
      <c r="C1552" s="375"/>
      <c r="D1552" s="375"/>
      <c r="E1552" s="375"/>
      <c r="F1552" s="375"/>
      <c r="G1552" s="375"/>
      <c r="H1552" s="375"/>
      <c r="I1552" s="375"/>
      <c r="J1552" s="375"/>
      <c r="K1552" s="375"/>
    </row>
    <row r="1553" spans="1:11" ht="12.75">
      <c r="A1553" s="375"/>
      <c r="B1553" s="375"/>
      <c r="C1553" s="375"/>
      <c r="D1553" s="375"/>
      <c r="E1553" s="375"/>
      <c r="F1553" s="375"/>
      <c r="G1553" s="375"/>
      <c r="H1553" s="375"/>
      <c r="I1553" s="375"/>
      <c r="J1553" s="375"/>
      <c r="K1553" s="375"/>
    </row>
    <row r="1554" spans="1:11" ht="12.75">
      <c r="A1554" s="375"/>
      <c r="B1554" s="375"/>
      <c r="C1554" s="375"/>
      <c r="D1554" s="375"/>
      <c r="E1554" s="375"/>
      <c r="F1554" s="375"/>
      <c r="G1554" s="375"/>
      <c r="H1554" s="375"/>
      <c r="I1554" s="375"/>
      <c r="J1554" s="375"/>
      <c r="K1554" s="375"/>
    </row>
    <row r="1555" spans="1:11" ht="12.75">
      <c r="A1555" s="375"/>
      <c r="B1555" s="375"/>
      <c r="C1555" s="375"/>
      <c r="D1555" s="375"/>
      <c r="E1555" s="375"/>
      <c r="F1555" s="375"/>
      <c r="G1555" s="375"/>
      <c r="H1555" s="375"/>
      <c r="I1555" s="375"/>
      <c r="J1555" s="375"/>
      <c r="K1555" s="375"/>
    </row>
    <row r="1556" spans="1:11" ht="12.75">
      <c r="A1556" s="375"/>
      <c r="B1556" s="375"/>
      <c r="C1556" s="375"/>
      <c r="D1556" s="375"/>
      <c r="E1556" s="375"/>
      <c r="F1556" s="375"/>
      <c r="G1556" s="375"/>
      <c r="H1556" s="375"/>
      <c r="I1556" s="375"/>
      <c r="J1556" s="375"/>
      <c r="K1556" s="375"/>
    </row>
    <row r="1557" spans="1:11" ht="12.75">
      <c r="A1557" s="375"/>
      <c r="B1557" s="375"/>
      <c r="C1557" s="375"/>
      <c r="D1557" s="375"/>
      <c r="E1557" s="375"/>
      <c r="F1557" s="375"/>
      <c r="G1557" s="375"/>
      <c r="H1557" s="375"/>
      <c r="I1557" s="375"/>
      <c r="J1557" s="375"/>
      <c r="K1557" s="375"/>
    </row>
    <row r="1558" spans="1:11" ht="12.75">
      <c r="A1558" s="375"/>
      <c r="B1558" s="375"/>
      <c r="C1558" s="375"/>
      <c r="D1558" s="375"/>
      <c r="E1558" s="375"/>
      <c r="F1558" s="375"/>
      <c r="G1558" s="375"/>
      <c r="H1558" s="375"/>
      <c r="I1558" s="375"/>
      <c r="J1558" s="375"/>
      <c r="K1558" s="375"/>
    </row>
    <row r="1559" spans="1:11" ht="12.75">
      <c r="A1559" s="375"/>
      <c r="B1559" s="375"/>
      <c r="C1559" s="375"/>
      <c r="D1559" s="375"/>
      <c r="E1559" s="375"/>
      <c r="F1559" s="375"/>
      <c r="G1559" s="375"/>
      <c r="H1559" s="375"/>
      <c r="I1559" s="375"/>
      <c r="J1559" s="375"/>
      <c r="K1559" s="375"/>
    </row>
    <row r="1560" spans="1:11" ht="12.75">
      <c r="A1560" s="375"/>
      <c r="B1560" s="375"/>
      <c r="C1560" s="375"/>
      <c r="D1560" s="375"/>
      <c r="E1560" s="375"/>
      <c r="F1560" s="375"/>
      <c r="G1560" s="375"/>
      <c r="H1560" s="375"/>
      <c r="I1560" s="375"/>
      <c r="J1560" s="375"/>
      <c r="K1560" s="375"/>
    </row>
    <row r="1561" spans="1:11" ht="12.75">
      <c r="A1561" s="375"/>
      <c r="B1561" s="375"/>
      <c r="C1561" s="375"/>
      <c r="D1561" s="375"/>
      <c r="E1561" s="375"/>
      <c r="F1561" s="375"/>
      <c r="G1561" s="375"/>
      <c r="H1561" s="375"/>
      <c r="I1561" s="375"/>
      <c r="J1561" s="375"/>
      <c r="K1561" s="375"/>
    </row>
    <row r="1562" spans="1:11" ht="12.75">
      <c r="A1562" s="375"/>
      <c r="B1562" s="375"/>
      <c r="C1562" s="375"/>
      <c r="D1562" s="375"/>
      <c r="E1562" s="375"/>
      <c r="F1562" s="375"/>
      <c r="G1562" s="375"/>
      <c r="H1562" s="375"/>
      <c r="I1562" s="375"/>
      <c r="J1562" s="375"/>
      <c r="K1562" s="375"/>
    </row>
    <row r="1563" spans="1:11" ht="12.75">
      <c r="A1563" s="375"/>
      <c r="B1563" s="375"/>
      <c r="C1563" s="375"/>
      <c r="D1563" s="375"/>
      <c r="E1563" s="375"/>
      <c r="F1563" s="375"/>
      <c r="G1563" s="375"/>
      <c r="H1563" s="375"/>
      <c r="I1563" s="375"/>
      <c r="J1563" s="375"/>
      <c r="K1563" s="375"/>
    </row>
    <row r="1564" spans="1:11" ht="12.75">
      <c r="A1564" s="375"/>
      <c r="B1564" s="375"/>
      <c r="C1564" s="375"/>
      <c r="D1564" s="375"/>
      <c r="E1564" s="375"/>
      <c r="F1564" s="375"/>
      <c r="G1564" s="375"/>
      <c r="H1564" s="375"/>
      <c r="I1564" s="375"/>
      <c r="J1564" s="375"/>
      <c r="K1564" s="375"/>
    </row>
    <row r="1565" spans="1:11" ht="12.75">
      <c r="A1565" s="375"/>
      <c r="B1565" s="375"/>
      <c r="C1565" s="375"/>
      <c r="D1565" s="375"/>
      <c r="E1565" s="375"/>
      <c r="F1565" s="375"/>
      <c r="G1565" s="375"/>
      <c r="H1565" s="375"/>
      <c r="I1565" s="375"/>
      <c r="J1565" s="375"/>
      <c r="K1565" s="375"/>
    </row>
    <row r="1566" spans="1:11" ht="12.75">
      <c r="A1566" s="375"/>
      <c r="B1566" s="375"/>
      <c r="C1566" s="375"/>
      <c r="D1566" s="375"/>
      <c r="E1566" s="375"/>
      <c r="F1566" s="375"/>
      <c r="G1566" s="375"/>
      <c r="H1566" s="375"/>
      <c r="I1566" s="375"/>
      <c r="J1566" s="375"/>
      <c r="K1566" s="375"/>
    </row>
    <row r="1567" spans="1:11" ht="12.75">
      <c r="A1567" s="375"/>
      <c r="B1567" s="375"/>
      <c r="C1567" s="375"/>
      <c r="D1567" s="375"/>
      <c r="E1567" s="375"/>
      <c r="F1567" s="375"/>
      <c r="G1567" s="375"/>
      <c r="H1567" s="375"/>
      <c r="I1567" s="375"/>
      <c r="J1567" s="375"/>
      <c r="K1567" s="375"/>
    </row>
    <row r="1568" spans="1:11" ht="12.75">
      <c r="A1568" s="375"/>
      <c r="B1568" s="375"/>
      <c r="C1568" s="375"/>
      <c r="D1568" s="375"/>
      <c r="E1568" s="375"/>
      <c r="F1568" s="375"/>
      <c r="G1568" s="375"/>
      <c r="H1568" s="375"/>
      <c r="I1568" s="375"/>
      <c r="J1568" s="375"/>
      <c r="K1568" s="375"/>
    </row>
    <row r="1569" spans="1:11" ht="12.75">
      <c r="A1569" s="375"/>
      <c r="B1569" s="375"/>
      <c r="C1569" s="375"/>
      <c r="D1569" s="375"/>
      <c r="E1569" s="375"/>
      <c r="F1569" s="375"/>
      <c r="G1569" s="375"/>
      <c r="H1569" s="375"/>
      <c r="I1569" s="375"/>
      <c r="J1569" s="375"/>
      <c r="K1569" s="375"/>
    </row>
    <row r="1570" spans="1:11" ht="12.75">
      <c r="A1570" s="375"/>
      <c r="B1570" s="375"/>
      <c r="C1570" s="375"/>
      <c r="D1570" s="375"/>
      <c r="E1570" s="375"/>
      <c r="F1570" s="375"/>
      <c r="G1570" s="375"/>
      <c r="H1570" s="375"/>
      <c r="I1570" s="375"/>
      <c r="J1570" s="375"/>
      <c r="K1570" s="375"/>
    </row>
    <row r="1571" spans="1:11" ht="12.75">
      <c r="A1571" s="375"/>
      <c r="B1571" s="375"/>
      <c r="C1571" s="375"/>
      <c r="D1571" s="375"/>
      <c r="E1571" s="375"/>
      <c r="F1571" s="375"/>
      <c r="G1571" s="375"/>
      <c r="H1571" s="375"/>
      <c r="I1571" s="375"/>
      <c r="J1571" s="375"/>
      <c r="K1571" s="375"/>
    </row>
    <row r="1572" spans="1:11" ht="12.75">
      <c r="A1572" s="375"/>
      <c r="B1572" s="375"/>
      <c r="C1572" s="375"/>
      <c r="D1572" s="375"/>
      <c r="E1572" s="375"/>
      <c r="F1572" s="375"/>
      <c r="G1572" s="375"/>
      <c r="H1572" s="375"/>
      <c r="I1572" s="375"/>
      <c r="J1572" s="375"/>
      <c r="K1572" s="375"/>
    </row>
    <row r="1573" spans="1:11" ht="12.75">
      <c r="A1573" s="375"/>
      <c r="B1573" s="375"/>
      <c r="C1573" s="375"/>
      <c r="D1573" s="375"/>
      <c r="E1573" s="375"/>
      <c r="F1573" s="375"/>
      <c r="G1573" s="375"/>
      <c r="H1573" s="375"/>
      <c r="I1573" s="375"/>
      <c r="J1573" s="375"/>
      <c r="K1573" s="375"/>
    </row>
    <row r="1574" spans="1:11" ht="12.75">
      <c r="A1574" s="375"/>
      <c r="B1574" s="375"/>
      <c r="C1574" s="375"/>
      <c r="D1574" s="375"/>
      <c r="E1574" s="375"/>
      <c r="F1574" s="375"/>
      <c r="G1574" s="375"/>
      <c r="H1574" s="375"/>
      <c r="I1574" s="375"/>
      <c r="J1574" s="375"/>
      <c r="K1574" s="375"/>
    </row>
    <row r="1575" spans="1:11" ht="12.75">
      <c r="A1575" s="375"/>
      <c r="B1575" s="375"/>
      <c r="C1575" s="375"/>
      <c r="D1575" s="375"/>
      <c r="E1575" s="375"/>
      <c r="F1575" s="375"/>
      <c r="G1575" s="375"/>
      <c r="H1575" s="375"/>
      <c r="I1575" s="375"/>
      <c r="J1575" s="375"/>
      <c r="K1575" s="375"/>
    </row>
    <row r="1576" spans="1:11" ht="12.75">
      <c r="A1576" s="375"/>
      <c r="B1576" s="375"/>
      <c r="C1576" s="375"/>
      <c r="D1576" s="375"/>
      <c r="E1576" s="375"/>
      <c r="F1576" s="375"/>
      <c r="G1576" s="375"/>
      <c r="H1576" s="375"/>
      <c r="I1576" s="375"/>
      <c r="J1576" s="375"/>
      <c r="K1576" s="375"/>
    </row>
    <row r="1577" spans="1:11" ht="12.75">
      <c r="A1577" s="375"/>
      <c r="B1577" s="375"/>
      <c r="C1577" s="375"/>
      <c r="D1577" s="375"/>
      <c r="E1577" s="375"/>
      <c r="F1577" s="375"/>
      <c r="G1577" s="375"/>
      <c r="H1577" s="375"/>
      <c r="I1577" s="375"/>
      <c r="J1577" s="375"/>
      <c r="K1577" s="375"/>
    </row>
    <row r="1578" spans="1:11" ht="12.75">
      <c r="A1578" s="375"/>
      <c r="B1578" s="375"/>
      <c r="C1578" s="375"/>
      <c r="D1578" s="375"/>
      <c r="E1578" s="375"/>
      <c r="F1578" s="375"/>
      <c r="G1578" s="375"/>
      <c r="H1578" s="375"/>
      <c r="I1578" s="375"/>
      <c r="J1578" s="375"/>
      <c r="K1578" s="375"/>
    </row>
    <row r="1579" spans="1:11" ht="12.75">
      <c r="A1579" s="375"/>
      <c r="B1579" s="375"/>
      <c r="C1579" s="375"/>
      <c r="D1579" s="375"/>
      <c r="E1579" s="375"/>
      <c r="F1579" s="375"/>
      <c r="G1579" s="375"/>
      <c r="H1579" s="375"/>
      <c r="I1579" s="375"/>
      <c r="J1579" s="375"/>
      <c r="K1579" s="375"/>
    </row>
    <row r="1580" spans="1:11" ht="12.75">
      <c r="A1580" s="375"/>
      <c r="B1580" s="375"/>
      <c r="C1580" s="375"/>
      <c r="D1580" s="375"/>
      <c r="E1580" s="375"/>
      <c r="F1580" s="375"/>
      <c r="G1580" s="375"/>
      <c r="H1580" s="375"/>
      <c r="I1580" s="375"/>
      <c r="J1580" s="375"/>
      <c r="K1580" s="375"/>
    </row>
    <row r="1581" spans="1:11" ht="12.75">
      <c r="A1581" s="375"/>
      <c r="B1581" s="375"/>
      <c r="C1581" s="375"/>
      <c r="D1581" s="375"/>
      <c r="E1581" s="375"/>
      <c r="F1581" s="375"/>
      <c r="G1581" s="375"/>
      <c r="H1581" s="375"/>
      <c r="I1581" s="375"/>
      <c r="J1581" s="375"/>
      <c r="K1581" s="375"/>
    </row>
    <row r="1582" spans="1:11" ht="12.75">
      <c r="A1582" s="375"/>
      <c r="B1582" s="375"/>
      <c r="C1582" s="375"/>
      <c r="D1582" s="375"/>
      <c r="E1582" s="375"/>
      <c r="F1582" s="375"/>
      <c r="G1582" s="375"/>
      <c r="H1582" s="375"/>
      <c r="I1582" s="375"/>
      <c r="J1582" s="375"/>
      <c r="K1582" s="375"/>
    </row>
    <row r="1583" spans="1:11" ht="12.75">
      <c r="A1583" s="375"/>
      <c r="B1583" s="375"/>
      <c r="C1583" s="375"/>
      <c r="D1583" s="375"/>
      <c r="E1583" s="375"/>
      <c r="F1583" s="375"/>
      <c r="G1583" s="375"/>
      <c r="H1583" s="375"/>
      <c r="I1583" s="375"/>
      <c r="J1583" s="375"/>
      <c r="K1583" s="375"/>
    </row>
    <row r="1584" spans="1:11" ht="12.75">
      <c r="A1584" s="375"/>
      <c r="B1584" s="375"/>
      <c r="C1584" s="375"/>
      <c r="D1584" s="375"/>
      <c r="E1584" s="375"/>
      <c r="F1584" s="375"/>
      <c r="G1584" s="375"/>
      <c r="H1584" s="375"/>
      <c r="I1584" s="375"/>
      <c r="J1584" s="375"/>
      <c r="K1584" s="375"/>
    </row>
    <row r="1585" spans="1:11" ht="12.75">
      <c r="A1585" s="375"/>
      <c r="B1585" s="375"/>
      <c r="C1585" s="375"/>
      <c r="D1585" s="375"/>
      <c r="E1585" s="375"/>
      <c r="F1585" s="375"/>
      <c r="G1585" s="375"/>
      <c r="H1585" s="375"/>
      <c r="I1585" s="375"/>
      <c r="J1585" s="375"/>
      <c r="K1585" s="375"/>
    </row>
    <row r="1586" spans="1:11" ht="12.75">
      <c r="A1586" s="375"/>
      <c r="B1586" s="375"/>
      <c r="C1586" s="375"/>
      <c r="D1586" s="375"/>
      <c r="E1586" s="375"/>
      <c r="F1586" s="375"/>
      <c r="G1586" s="375"/>
      <c r="H1586" s="375"/>
      <c r="I1586" s="375"/>
      <c r="J1586" s="375"/>
      <c r="K1586" s="375"/>
    </row>
    <row r="1587" spans="1:11" ht="12.75">
      <c r="A1587" s="375"/>
      <c r="B1587" s="375"/>
      <c r="C1587" s="375"/>
      <c r="D1587" s="375"/>
      <c r="E1587" s="375"/>
      <c r="F1587" s="375"/>
      <c r="G1587" s="375"/>
      <c r="H1587" s="375"/>
      <c r="I1587" s="375"/>
      <c r="J1587" s="375"/>
      <c r="K1587" s="375"/>
    </row>
    <row r="1588" spans="1:11" ht="12.75">
      <c r="A1588" s="375"/>
      <c r="B1588" s="375"/>
      <c r="C1588" s="375"/>
      <c r="D1588" s="375"/>
      <c r="E1588" s="375"/>
      <c r="F1588" s="375"/>
      <c r="G1588" s="375"/>
      <c r="H1588" s="375"/>
      <c r="I1588" s="375"/>
      <c r="J1588" s="375"/>
      <c r="K1588" s="375"/>
    </row>
    <row r="1589" spans="1:11" ht="12.75">
      <c r="A1589" s="375"/>
      <c r="B1589" s="375"/>
      <c r="C1589" s="375"/>
      <c r="D1589" s="375"/>
      <c r="E1589" s="375"/>
      <c r="F1589" s="375"/>
      <c r="G1589" s="375"/>
      <c r="H1589" s="375"/>
      <c r="I1589" s="375"/>
      <c r="J1589" s="375"/>
      <c r="K1589" s="375"/>
    </row>
    <row r="1590" spans="1:11" ht="12.75">
      <c r="A1590" s="375"/>
      <c r="B1590" s="375"/>
      <c r="C1590" s="375"/>
      <c r="D1590" s="375"/>
      <c r="E1590" s="375"/>
      <c r="F1590" s="375"/>
      <c r="G1590" s="375"/>
      <c r="H1590" s="375"/>
      <c r="I1590" s="375"/>
      <c r="J1590" s="375"/>
      <c r="K1590" s="375"/>
    </row>
    <row r="1591" spans="1:11" ht="12.75">
      <c r="A1591" s="375"/>
      <c r="B1591" s="375"/>
      <c r="C1591" s="375"/>
      <c r="D1591" s="375"/>
      <c r="E1591" s="375"/>
      <c r="F1591" s="375"/>
      <c r="G1591" s="375"/>
      <c r="H1591" s="375"/>
      <c r="I1591" s="375"/>
      <c r="J1591" s="375"/>
      <c r="K1591" s="375"/>
    </row>
    <row r="1592" spans="1:11" ht="12.75">
      <c r="A1592" s="375"/>
      <c r="B1592" s="375"/>
      <c r="C1592" s="375"/>
      <c r="D1592" s="375"/>
      <c r="E1592" s="375"/>
      <c r="F1592" s="375"/>
      <c r="G1592" s="375"/>
      <c r="H1592" s="375"/>
      <c r="I1592" s="375"/>
      <c r="J1592" s="375"/>
      <c r="K1592" s="375"/>
    </row>
    <row r="1593" spans="1:11" ht="12.75">
      <c r="A1593" s="375"/>
      <c r="B1593" s="375"/>
      <c r="C1593" s="375"/>
      <c r="D1593" s="375"/>
      <c r="E1593" s="375"/>
      <c r="F1593" s="375"/>
      <c r="G1593" s="375"/>
      <c r="H1593" s="375"/>
      <c r="I1593" s="375"/>
      <c r="J1593" s="375"/>
      <c r="K1593" s="375"/>
    </row>
    <row r="1594" spans="1:11" ht="12.75">
      <c r="A1594" s="375"/>
      <c r="B1594" s="375"/>
      <c r="C1594" s="375"/>
      <c r="D1594" s="375"/>
      <c r="E1594" s="375"/>
      <c r="F1594" s="375"/>
      <c r="G1594" s="375"/>
      <c r="H1594" s="375"/>
      <c r="I1594" s="375"/>
      <c r="J1594" s="375"/>
      <c r="K1594" s="375"/>
    </row>
    <row r="1595" spans="1:11" ht="12.75">
      <c r="A1595" s="375"/>
      <c r="B1595" s="375"/>
      <c r="C1595" s="375"/>
      <c r="D1595" s="375"/>
      <c r="E1595" s="375"/>
      <c r="F1595" s="375"/>
      <c r="G1595" s="375"/>
      <c r="H1595" s="375"/>
      <c r="I1595" s="375"/>
      <c r="J1595" s="375"/>
      <c r="K1595" s="375"/>
    </row>
    <row r="1596" spans="1:11" ht="12.75">
      <c r="A1596" s="375"/>
      <c r="B1596" s="375"/>
      <c r="C1596" s="375"/>
      <c r="D1596" s="375"/>
      <c r="E1596" s="375"/>
      <c r="F1596" s="375"/>
      <c r="G1596" s="375"/>
      <c r="H1596" s="375"/>
      <c r="I1596" s="375"/>
      <c r="J1596" s="375"/>
      <c r="K1596" s="375"/>
    </row>
    <row r="1597" spans="1:11" ht="12.75">
      <c r="A1597" s="375"/>
      <c r="B1597" s="375"/>
      <c r="C1597" s="375"/>
      <c r="D1597" s="375"/>
      <c r="E1597" s="375"/>
      <c r="F1597" s="375"/>
      <c r="G1597" s="375"/>
      <c r="H1597" s="375"/>
      <c r="I1597" s="375"/>
      <c r="J1597" s="375"/>
      <c r="K1597" s="375"/>
    </row>
    <row r="1598" spans="1:11" ht="12.75">
      <c r="A1598" s="375"/>
      <c r="B1598" s="375"/>
      <c r="C1598" s="375"/>
      <c r="D1598" s="375"/>
      <c r="E1598" s="375"/>
      <c r="F1598" s="375"/>
      <c r="G1598" s="375"/>
      <c r="H1598" s="375"/>
      <c r="I1598" s="375"/>
      <c r="J1598" s="375"/>
      <c r="K1598" s="375"/>
    </row>
    <row r="1599" spans="1:11" ht="12.75">
      <c r="A1599" s="375"/>
      <c r="B1599" s="375"/>
      <c r="C1599" s="375"/>
      <c r="D1599" s="375"/>
      <c r="E1599" s="375"/>
      <c r="F1599" s="375"/>
      <c r="G1599" s="375"/>
      <c r="H1599" s="375"/>
      <c r="I1599" s="375"/>
      <c r="J1599" s="375"/>
      <c r="K1599" s="375"/>
    </row>
    <row r="1600" spans="1:11" ht="12.75">
      <c r="A1600" s="375"/>
      <c r="B1600" s="375"/>
      <c r="C1600" s="375"/>
      <c r="D1600" s="375"/>
      <c r="E1600" s="375"/>
      <c r="F1600" s="375"/>
      <c r="G1600" s="375"/>
      <c r="H1600" s="375"/>
      <c r="I1600" s="375"/>
      <c r="J1600" s="375"/>
      <c r="K1600" s="375"/>
    </row>
    <row r="1601" spans="1:11" ht="12.75">
      <c r="A1601" s="375"/>
      <c r="B1601" s="375"/>
      <c r="C1601" s="375"/>
      <c r="D1601" s="375"/>
      <c r="E1601" s="375"/>
      <c r="F1601" s="375"/>
      <c r="G1601" s="375"/>
      <c r="H1601" s="375"/>
      <c r="I1601" s="375"/>
      <c r="J1601" s="375"/>
      <c r="K1601" s="375"/>
    </row>
    <row r="1602" spans="1:11" ht="12.75">
      <c r="A1602" s="375"/>
      <c r="B1602" s="375"/>
      <c r="C1602" s="375"/>
      <c r="D1602" s="375"/>
      <c r="E1602" s="375"/>
      <c r="F1602" s="375"/>
      <c r="G1602" s="375"/>
      <c r="H1602" s="375"/>
      <c r="I1602" s="375"/>
      <c r="J1602" s="375"/>
      <c r="K1602" s="375"/>
    </row>
    <row r="1603" spans="1:11" ht="12.75">
      <c r="A1603" s="375"/>
      <c r="B1603" s="375"/>
      <c r="C1603" s="375"/>
      <c r="D1603" s="375"/>
      <c r="E1603" s="375"/>
      <c r="F1603" s="375"/>
      <c r="G1603" s="375"/>
      <c r="H1603" s="375"/>
      <c r="I1603" s="375"/>
      <c r="J1603" s="375"/>
      <c r="K1603" s="375"/>
    </row>
    <row r="1604" spans="1:11" ht="12.75">
      <c r="A1604" s="375"/>
      <c r="B1604" s="375"/>
      <c r="C1604" s="375"/>
      <c r="D1604" s="375"/>
      <c r="E1604" s="375"/>
      <c r="F1604" s="375"/>
      <c r="G1604" s="375"/>
      <c r="H1604" s="375"/>
      <c r="I1604" s="375"/>
      <c r="J1604" s="375"/>
      <c r="K1604" s="375"/>
    </row>
    <row r="1605" spans="1:11" ht="12.75">
      <c r="A1605" s="375"/>
      <c r="B1605" s="375"/>
      <c r="C1605" s="375"/>
      <c r="D1605" s="375"/>
      <c r="E1605" s="375"/>
      <c r="F1605" s="375"/>
      <c r="G1605" s="375"/>
      <c r="H1605" s="375"/>
      <c r="I1605" s="375"/>
      <c r="J1605" s="375"/>
      <c r="K1605" s="375"/>
    </row>
    <row r="1606" spans="1:11" ht="12.75">
      <c r="A1606" s="375"/>
      <c r="B1606" s="375"/>
      <c r="C1606" s="375"/>
      <c r="D1606" s="375"/>
      <c r="E1606" s="375"/>
      <c r="F1606" s="375"/>
      <c r="G1606" s="375"/>
      <c r="H1606" s="375"/>
      <c r="I1606" s="375"/>
      <c r="J1606" s="375"/>
      <c r="K1606" s="375"/>
    </row>
    <row r="1607" spans="1:11" ht="12.75">
      <c r="A1607" s="375"/>
      <c r="B1607" s="375"/>
      <c r="C1607" s="375"/>
      <c r="D1607" s="375"/>
      <c r="E1607" s="375"/>
      <c r="F1607" s="375"/>
      <c r="G1607" s="375"/>
      <c r="H1607" s="375"/>
      <c r="I1607" s="375"/>
      <c r="J1607" s="375"/>
      <c r="K1607" s="375"/>
    </row>
    <row r="1608" spans="1:11" ht="12.75">
      <c r="A1608" s="375"/>
      <c r="B1608" s="375"/>
      <c r="C1608" s="375"/>
      <c r="D1608" s="375"/>
      <c r="E1608" s="375"/>
      <c r="F1608" s="375"/>
      <c r="G1608" s="375"/>
      <c r="H1608" s="375"/>
      <c r="I1608" s="375"/>
      <c r="J1608" s="375"/>
      <c r="K1608" s="375"/>
    </row>
    <row r="1609" spans="1:11" ht="12.75">
      <c r="A1609" s="375"/>
      <c r="B1609" s="375"/>
      <c r="C1609" s="375"/>
      <c r="D1609" s="375"/>
      <c r="E1609" s="375"/>
      <c r="F1609" s="375"/>
      <c r="G1609" s="375"/>
      <c r="H1609" s="375"/>
      <c r="I1609" s="375"/>
      <c r="J1609" s="375"/>
      <c r="K1609" s="375"/>
    </row>
    <row r="1610" spans="1:11" ht="12.75">
      <c r="A1610" s="375"/>
      <c r="B1610" s="375"/>
      <c r="C1610" s="375"/>
      <c r="D1610" s="375"/>
      <c r="E1610" s="375"/>
      <c r="F1610" s="375"/>
      <c r="G1610" s="375"/>
      <c r="H1610" s="375"/>
      <c r="I1610" s="375"/>
      <c r="J1610" s="375"/>
      <c r="K1610" s="375"/>
    </row>
    <row r="1611" spans="1:11" ht="12.75">
      <c r="A1611" s="375"/>
      <c r="B1611" s="375"/>
      <c r="C1611" s="375"/>
      <c r="D1611" s="375"/>
      <c r="E1611" s="375"/>
      <c r="F1611" s="375"/>
      <c r="G1611" s="375"/>
      <c r="H1611" s="375"/>
      <c r="I1611" s="375"/>
      <c r="J1611" s="375"/>
      <c r="K1611" s="375"/>
    </row>
    <row r="1612" spans="1:11" ht="12.75">
      <c r="A1612" s="375"/>
      <c r="B1612" s="375"/>
      <c r="C1612" s="375"/>
      <c r="D1612" s="375"/>
      <c r="E1612" s="375"/>
      <c r="F1612" s="375"/>
      <c r="G1612" s="375"/>
      <c r="H1612" s="375"/>
      <c r="I1612" s="375"/>
      <c r="J1612" s="375"/>
      <c r="K1612" s="375"/>
    </row>
    <row r="1613" spans="1:11" ht="12.75">
      <c r="A1613" s="375"/>
      <c r="B1613" s="375"/>
      <c r="C1613" s="375"/>
      <c r="D1613" s="375"/>
      <c r="E1613" s="375"/>
      <c r="F1613" s="375"/>
      <c r="G1613" s="375"/>
      <c r="H1613" s="375"/>
      <c r="I1613" s="375"/>
      <c r="J1613" s="375"/>
      <c r="K1613" s="375"/>
    </row>
    <row r="1614" spans="1:11" ht="12.75">
      <c r="A1614" s="375"/>
      <c r="B1614" s="375"/>
      <c r="C1614" s="375"/>
      <c r="D1614" s="375"/>
      <c r="E1614" s="375"/>
      <c r="F1614" s="375"/>
      <c r="G1614" s="375"/>
      <c r="H1614" s="375"/>
      <c r="I1614" s="375"/>
      <c r="J1614" s="375"/>
      <c r="K1614" s="375"/>
    </row>
    <row r="1615" spans="1:11" ht="12.75">
      <c r="A1615" s="375"/>
      <c r="B1615" s="375"/>
      <c r="C1615" s="375"/>
      <c r="D1615" s="375"/>
      <c r="E1615" s="375"/>
      <c r="F1615" s="375"/>
      <c r="G1615" s="375"/>
      <c r="H1615" s="375"/>
      <c r="I1615" s="375"/>
      <c r="J1615" s="375"/>
      <c r="K1615" s="375"/>
    </row>
    <row r="1616" spans="1:11" ht="12.75">
      <c r="A1616" s="375"/>
      <c r="B1616" s="375"/>
      <c r="C1616" s="375"/>
      <c r="D1616" s="375"/>
      <c r="E1616" s="375"/>
      <c r="F1616" s="375"/>
      <c r="G1616" s="375"/>
      <c r="H1616" s="375"/>
      <c r="I1616" s="375"/>
      <c r="J1616" s="375"/>
      <c r="K1616" s="375"/>
    </row>
    <row r="1617" spans="1:11" ht="12.75">
      <c r="A1617" s="375"/>
      <c r="B1617" s="375"/>
      <c r="C1617" s="375"/>
      <c r="D1617" s="375"/>
      <c r="E1617" s="375"/>
      <c r="F1617" s="375"/>
      <c r="G1617" s="375"/>
      <c r="H1617" s="375"/>
      <c r="I1617" s="375"/>
      <c r="J1617" s="375"/>
      <c r="K1617" s="375"/>
    </row>
    <row r="1618" spans="1:11" ht="12.75">
      <c r="A1618" s="375"/>
      <c r="B1618" s="375"/>
      <c r="C1618" s="375"/>
      <c r="D1618" s="375"/>
      <c r="E1618" s="375"/>
      <c r="F1618" s="375"/>
      <c r="G1618" s="375"/>
      <c r="H1618" s="375"/>
      <c r="I1618" s="375"/>
      <c r="J1618" s="375"/>
      <c r="K1618" s="375"/>
    </row>
    <row r="1619" spans="1:11" ht="12.75">
      <c r="A1619" s="375"/>
      <c r="B1619" s="375"/>
      <c r="C1619" s="375"/>
      <c r="D1619" s="375"/>
      <c r="E1619" s="375"/>
      <c r="F1619" s="375"/>
      <c r="G1619" s="375"/>
      <c r="H1619" s="375"/>
      <c r="I1619" s="375"/>
      <c r="J1619" s="375"/>
      <c r="K1619" s="375"/>
    </row>
    <row r="1620" spans="1:11" ht="12.75">
      <c r="A1620" s="375"/>
      <c r="B1620" s="375"/>
      <c r="C1620" s="375"/>
      <c r="D1620" s="375"/>
      <c r="E1620" s="375"/>
      <c r="F1620" s="375"/>
      <c r="G1620" s="375"/>
      <c r="H1620" s="375"/>
      <c r="I1620" s="375"/>
      <c r="J1620" s="375"/>
      <c r="K1620" s="375"/>
    </row>
    <row r="1621" spans="1:11" ht="12.75">
      <c r="A1621" s="375"/>
      <c r="B1621" s="375"/>
      <c r="C1621" s="375"/>
      <c r="D1621" s="375"/>
      <c r="E1621" s="375"/>
      <c r="F1621" s="375"/>
      <c r="G1621" s="375"/>
      <c r="H1621" s="375"/>
      <c r="I1621" s="375"/>
      <c r="J1621" s="375"/>
      <c r="K1621" s="375"/>
    </row>
    <row r="1622" spans="1:11" ht="12.75">
      <c r="A1622" s="375"/>
      <c r="B1622" s="375"/>
      <c r="C1622" s="375"/>
      <c r="D1622" s="375"/>
      <c r="E1622" s="375"/>
      <c r="F1622" s="375"/>
      <c r="G1622" s="375"/>
      <c r="H1622" s="375"/>
      <c r="I1622" s="375"/>
      <c r="J1622" s="375"/>
      <c r="K1622" s="375"/>
    </row>
    <row r="1623" spans="1:11" ht="12.75">
      <c r="A1623" s="375"/>
      <c r="B1623" s="375"/>
      <c r="C1623" s="375"/>
      <c r="D1623" s="375"/>
      <c r="E1623" s="375"/>
      <c r="F1623" s="375"/>
      <c r="G1623" s="375"/>
      <c r="H1623" s="375"/>
      <c r="I1623" s="375"/>
      <c r="J1623" s="375"/>
      <c r="K1623" s="375"/>
    </row>
    <row r="1624" spans="1:11" ht="12.75">
      <c r="A1624" s="375"/>
      <c r="B1624" s="375"/>
      <c r="C1624" s="375"/>
      <c r="D1624" s="375"/>
      <c r="E1624" s="375"/>
      <c r="F1624" s="375"/>
      <c r="G1624" s="375"/>
      <c r="H1624" s="375"/>
      <c r="I1624" s="375"/>
      <c r="J1624" s="375"/>
      <c r="K1624" s="375"/>
    </row>
    <row r="1625" spans="1:11" ht="12.75">
      <c r="A1625" s="375"/>
      <c r="B1625" s="375"/>
      <c r="C1625" s="375"/>
      <c r="D1625" s="375"/>
      <c r="E1625" s="375"/>
      <c r="F1625" s="375"/>
      <c r="G1625" s="375"/>
      <c r="H1625" s="375"/>
      <c r="I1625" s="375"/>
      <c r="J1625" s="375"/>
      <c r="K1625" s="375"/>
    </row>
    <row r="1626" spans="1:11" ht="12.75">
      <c r="A1626" s="375"/>
      <c r="B1626" s="375"/>
      <c r="C1626" s="375"/>
      <c r="D1626" s="375"/>
      <c r="E1626" s="375"/>
      <c r="F1626" s="375"/>
      <c r="G1626" s="375"/>
      <c r="H1626" s="375"/>
      <c r="I1626" s="375"/>
      <c r="J1626" s="375"/>
      <c r="K1626" s="375"/>
    </row>
    <row r="1627" spans="1:11" ht="12.75">
      <c r="A1627" s="375"/>
      <c r="B1627" s="375"/>
      <c r="C1627" s="375"/>
      <c r="D1627" s="375"/>
      <c r="E1627" s="375"/>
      <c r="F1627" s="375"/>
      <c r="G1627" s="375"/>
      <c r="H1627" s="375"/>
      <c r="I1627" s="375"/>
      <c r="J1627" s="375"/>
      <c r="K1627" s="375"/>
    </row>
    <row r="1628" spans="1:11" ht="12.75">
      <c r="A1628" s="375"/>
      <c r="B1628" s="375"/>
      <c r="C1628" s="375"/>
      <c r="D1628" s="375"/>
      <c r="E1628" s="375"/>
      <c r="F1628" s="375"/>
      <c r="G1628" s="375"/>
      <c r="H1628" s="375"/>
      <c r="I1628" s="375"/>
      <c r="J1628" s="375"/>
      <c r="K1628" s="375"/>
    </row>
    <row r="1629" spans="1:11" ht="12.75">
      <c r="A1629" s="375"/>
      <c r="B1629" s="375"/>
      <c r="C1629" s="375"/>
      <c r="D1629" s="375"/>
      <c r="E1629" s="375"/>
      <c r="F1629" s="375"/>
      <c r="G1629" s="375"/>
      <c r="H1629" s="375"/>
      <c r="I1629" s="375"/>
      <c r="J1629" s="375"/>
      <c r="K1629" s="375"/>
    </row>
    <row r="1630" spans="1:11" ht="12.75">
      <c r="A1630" s="375"/>
      <c r="B1630" s="375"/>
      <c r="C1630" s="375"/>
      <c r="D1630" s="375"/>
      <c r="E1630" s="375"/>
      <c r="F1630" s="375"/>
      <c r="G1630" s="375"/>
      <c r="H1630" s="375"/>
      <c r="I1630" s="375"/>
      <c r="J1630" s="375"/>
      <c r="K1630" s="375"/>
    </row>
    <row r="1631" spans="1:11" ht="12.75">
      <c r="A1631" s="375"/>
      <c r="B1631" s="375"/>
      <c r="C1631" s="375"/>
      <c r="D1631" s="375"/>
      <c r="E1631" s="375"/>
      <c r="F1631" s="375"/>
      <c r="G1631" s="375"/>
      <c r="H1631" s="375"/>
      <c r="I1631" s="375"/>
      <c r="J1631" s="375"/>
      <c r="K1631" s="375"/>
    </row>
    <row r="1632" spans="1:11" ht="12.75">
      <c r="A1632" s="375"/>
      <c r="B1632" s="375"/>
      <c r="C1632" s="375"/>
      <c r="D1632" s="375"/>
      <c r="E1632" s="375"/>
      <c r="F1632" s="375"/>
      <c r="G1632" s="375"/>
      <c r="H1632" s="375"/>
      <c r="I1632" s="375"/>
      <c r="J1632" s="375"/>
      <c r="K1632" s="375"/>
    </row>
    <row r="1633" spans="1:11" ht="12.75">
      <c r="A1633" s="375"/>
      <c r="B1633" s="375"/>
      <c r="C1633" s="375"/>
      <c r="D1633" s="375"/>
      <c r="E1633" s="375"/>
      <c r="F1633" s="375"/>
      <c r="G1633" s="375"/>
      <c r="H1633" s="375"/>
      <c r="I1633" s="375"/>
      <c r="J1633" s="375"/>
      <c r="K1633" s="375"/>
    </row>
    <row r="1634" spans="1:11" ht="12.75">
      <c r="A1634" s="375"/>
      <c r="B1634" s="375"/>
      <c r="C1634" s="375"/>
      <c r="D1634" s="375"/>
      <c r="E1634" s="375"/>
      <c r="F1634" s="375"/>
      <c r="G1634" s="375"/>
      <c r="H1634" s="375"/>
      <c r="I1634" s="375"/>
      <c r="J1634" s="375"/>
      <c r="K1634" s="375"/>
    </row>
    <row r="1635" spans="1:11" ht="12.75">
      <c r="A1635" s="375"/>
      <c r="B1635" s="375"/>
      <c r="C1635" s="375"/>
      <c r="D1635" s="375"/>
      <c r="E1635" s="375"/>
      <c r="F1635" s="375"/>
      <c r="G1635" s="375"/>
      <c r="H1635" s="375"/>
      <c r="I1635" s="375"/>
      <c r="J1635" s="375"/>
      <c r="K1635" s="375"/>
    </row>
    <row r="1636" spans="1:11" ht="12.75">
      <c r="A1636" s="375"/>
      <c r="B1636" s="375"/>
      <c r="C1636" s="375"/>
      <c r="D1636" s="375"/>
      <c r="E1636" s="375"/>
      <c r="F1636" s="375"/>
      <c r="G1636" s="375"/>
      <c r="H1636" s="375"/>
      <c r="I1636" s="375"/>
      <c r="J1636" s="375"/>
      <c r="K1636" s="375"/>
    </row>
    <row r="1637" spans="1:11" ht="12.75">
      <c r="A1637" s="375"/>
      <c r="B1637" s="375"/>
      <c r="C1637" s="375"/>
      <c r="D1637" s="375"/>
      <c r="E1637" s="375"/>
      <c r="F1637" s="375"/>
      <c r="G1637" s="375"/>
      <c r="H1637" s="375"/>
      <c r="I1637" s="375"/>
      <c r="J1637" s="375"/>
      <c r="K1637" s="375"/>
    </row>
    <row r="1638" spans="1:11" ht="12.75">
      <c r="A1638" s="375"/>
      <c r="B1638" s="375"/>
      <c r="C1638" s="375"/>
      <c r="D1638" s="375"/>
      <c r="E1638" s="375"/>
      <c r="F1638" s="375"/>
      <c r="G1638" s="375"/>
      <c r="H1638" s="375"/>
      <c r="I1638" s="375"/>
      <c r="J1638" s="375"/>
      <c r="K1638" s="375"/>
    </row>
    <row r="1639" spans="1:11" ht="12.75">
      <c r="A1639" s="375"/>
      <c r="B1639" s="375"/>
      <c r="C1639" s="375"/>
      <c r="D1639" s="375"/>
      <c r="E1639" s="375"/>
      <c r="F1639" s="375"/>
      <c r="G1639" s="375"/>
      <c r="H1639" s="375"/>
      <c r="I1639" s="375"/>
      <c r="J1639" s="375"/>
      <c r="K1639" s="375"/>
    </row>
    <row r="1640" spans="1:11" ht="12.75">
      <c r="A1640" s="375"/>
      <c r="B1640" s="375"/>
      <c r="C1640" s="375"/>
      <c r="D1640" s="375"/>
      <c r="E1640" s="375"/>
      <c r="F1640" s="375"/>
      <c r="G1640" s="375"/>
      <c r="H1640" s="375"/>
      <c r="I1640" s="375"/>
      <c r="J1640" s="375"/>
      <c r="K1640" s="375"/>
    </row>
    <row r="1641" spans="1:11" ht="12.75">
      <c r="A1641" s="375"/>
      <c r="B1641" s="375"/>
      <c r="C1641" s="375"/>
      <c r="D1641" s="375"/>
      <c r="E1641" s="375"/>
      <c r="F1641" s="375"/>
      <c r="G1641" s="375"/>
      <c r="H1641" s="375"/>
      <c r="I1641" s="375"/>
      <c r="J1641" s="375"/>
      <c r="K1641" s="375"/>
    </row>
    <row r="1642" spans="1:11" ht="12.75">
      <c r="A1642" s="375"/>
      <c r="B1642" s="375"/>
      <c r="C1642" s="375"/>
      <c r="D1642" s="375"/>
      <c r="E1642" s="375"/>
      <c r="F1642" s="375"/>
      <c r="G1642" s="375"/>
      <c r="H1642" s="375"/>
      <c r="I1642" s="375"/>
      <c r="J1642" s="375"/>
      <c r="K1642" s="375"/>
    </row>
    <row r="1643" spans="1:11" ht="12.75">
      <c r="A1643" s="375"/>
      <c r="B1643" s="375"/>
      <c r="C1643" s="375"/>
      <c r="D1643" s="375"/>
      <c r="E1643" s="375"/>
      <c r="F1643" s="375"/>
      <c r="G1643" s="375"/>
      <c r="H1643" s="375"/>
      <c r="I1643" s="375"/>
      <c r="J1643" s="375"/>
      <c r="K1643" s="375"/>
    </row>
    <row r="1644" spans="1:11" ht="12.75">
      <c r="A1644" s="375"/>
      <c r="B1644" s="375"/>
      <c r="C1644" s="375"/>
      <c r="D1644" s="375"/>
      <c r="E1644" s="375"/>
      <c r="F1644" s="375"/>
      <c r="G1644" s="375"/>
      <c r="H1644" s="375"/>
      <c r="I1644" s="375"/>
      <c r="J1644" s="375"/>
      <c r="K1644" s="375"/>
    </row>
    <row r="1645" spans="1:11" ht="12.75">
      <c r="A1645" s="375"/>
      <c r="B1645" s="375"/>
      <c r="C1645" s="375"/>
      <c r="D1645" s="375"/>
      <c r="E1645" s="375"/>
      <c r="F1645" s="375"/>
      <c r="G1645" s="375"/>
      <c r="H1645" s="375"/>
      <c r="I1645" s="375"/>
      <c r="J1645" s="375"/>
      <c r="K1645" s="375"/>
    </row>
    <row r="1646" spans="1:11" ht="12.75">
      <c r="A1646" s="375"/>
      <c r="B1646" s="375"/>
      <c r="C1646" s="375"/>
      <c r="D1646" s="375"/>
      <c r="E1646" s="375"/>
      <c r="F1646" s="375"/>
      <c r="G1646" s="375"/>
      <c r="H1646" s="375"/>
      <c r="I1646" s="375"/>
      <c r="J1646" s="375"/>
      <c r="K1646" s="375"/>
    </row>
    <row r="1647" spans="1:11" ht="12.75">
      <c r="A1647" s="375"/>
      <c r="B1647" s="375"/>
      <c r="C1647" s="375"/>
      <c r="D1647" s="375"/>
      <c r="E1647" s="375"/>
      <c r="F1647" s="375"/>
      <c r="G1647" s="375"/>
      <c r="H1647" s="375"/>
      <c r="I1647" s="375"/>
      <c r="J1647" s="375"/>
      <c r="K1647" s="375"/>
    </row>
    <row r="1648" spans="1:11" ht="12.75">
      <c r="A1648" s="375"/>
      <c r="B1648" s="375"/>
      <c r="C1648" s="375"/>
      <c r="D1648" s="375"/>
      <c r="E1648" s="375"/>
      <c r="F1648" s="375"/>
      <c r="G1648" s="375"/>
      <c r="H1648" s="375"/>
      <c r="I1648" s="375"/>
      <c r="J1648" s="375"/>
      <c r="K1648" s="375"/>
    </row>
    <row r="1649" spans="1:11" ht="12.75">
      <c r="A1649" s="375"/>
      <c r="B1649" s="375"/>
      <c r="C1649" s="375"/>
      <c r="D1649" s="375"/>
      <c r="E1649" s="375"/>
      <c r="F1649" s="375"/>
      <c r="G1649" s="375"/>
      <c r="H1649" s="375"/>
      <c r="I1649" s="375"/>
      <c r="J1649" s="375"/>
      <c r="K1649" s="375"/>
    </row>
    <row r="1650" spans="1:11" ht="12.75">
      <c r="A1650" s="375"/>
      <c r="B1650" s="375"/>
      <c r="C1650" s="375"/>
      <c r="D1650" s="375"/>
      <c r="E1650" s="375"/>
      <c r="F1650" s="375"/>
      <c r="G1650" s="375"/>
      <c r="H1650" s="375"/>
      <c r="I1650" s="375"/>
      <c r="J1650" s="375"/>
      <c r="K1650" s="375"/>
    </row>
    <row r="1651" spans="1:11" ht="12.75">
      <c r="A1651" s="375"/>
      <c r="B1651" s="375"/>
      <c r="C1651" s="375"/>
      <c r="D1651" s="375"/>
      <c r="E1651" s="375"/>
      <c r="F1651" s="375"/>
      <c r="G1651" s="375"/>
      <c r="H1651" s="375"/>
      <c r="I1651" s="375"/>
      <c r="J1651" s="375"/>
      <c r="K1651" s="375"/>
    </row>
    <row r="1652" spans="1:11" ht="12.75">
      <c r="A1652" s="375"/>
      <c r="B1652" s="375"/>
      <c r="C1652" s="375"/>
      <c r="D1652" s="375"/>
      <c r="E1652" s="375"/>
      <c r="F1652" s="375"/>
      <c r="G1652" s="375"/>
      <c r="H1652" s="375"/>
      <c r="I1652" s="375"/>
      <c r="J1652" s="375"/>
      <c r="K1652" s="375"/>
    </row>
    <row r="1653" spans="1:11" ht="12.75">
      <c r="A1653" s="375"/>
      <c r="B1653" s="375"/>
      <c r="C1653" s="375"/>
      <c r="D1653" s="375"/>
      <c r="E1653" s="375"/>
      <c r="F1653" s="375"/>
      <c r="G1653" s="375"/>
      <c r="H1653" s="375"/>
      <c r="I1653" s="375"/>
      <c r="J1653" s="375"/>
      <c r="K1653" s="375"/>
    </row>
    <row r="1654" spans="1:11" ht="12.75">
      <c r="A1654" s="375"/>
      <c r="B1654" s="375"/>
      <c r="C1654" s="375"/>
      <c r="D1654" s="375"/>
      <c r="E1654" s="375"/>
      <c r="F1654" s="375"/>
      <c r="G1654" s="375"/>
      <c r="H1654" s="375"/>
      <c r="I1654" s="375"/>
      <c r="J1654" s="375"/>
      <c r="K1654" s="375"/>
    </row>
    <row r="1655" spans="1:11" ht="12.75">
      <c r="A1655" s="375"/>
      <c r="B1655" s="375"/>
      <c r="C1655" s="375"/>
      <c r="D1655" s="375"/>
      <c r="E1655" s="375"/>
      <c r="F1655" s="375"/>
      <c r="G1655" s="375"/>
      <c r="H1655" s="375"/>
      <c r="I1655" s="375"/>
      <c r="J1655" s="375"/>
      <c r="K1655" s="375"/>
    </row>
    <row r="1656" spans="1:11" ht="12.75">
      <c r="A1656" s="375"/>
      <c r="B1656" s="375"/>
      <c r="C1656" s="375"/>
      <c r="D1656" s="375"/>
      <c r="E1656" s="375"/>
      <c r="F1656" s="375"/>
      <c r="G1656" s="375"/>
      <c r="H1656" s="375"/>
      <c r="I1656" s="375"/>
      <c r="J1656" s="375"/>
      <c r="K1656" s="375"/>
    </row>
    <row r="1657" spans="1:11" ht="12.75">
      <c r="A1657" s="375"/>
      <c r="B1657" s="375"/>
      <c r="C1657" s="375"/>
      <c r="D1657" s="375"/>
      <c r="E1657" s="375"/>
      <c r="F1657" s="375"/>
      <c r="G1657" s="375"/>
      <c r="H1657" s="375"/>
      <c r="I1657" s="375"/>
      <c r="J1657" s="375"/>
      <c r="K1657" s="375"/>
    </row>
    <row r="1658" spans="1:11" ht="12.75">
      <c r="A1658" s="375"/>
      <c r="B1658" s="375"/>
      <c r="C1658" s="375"/>
      <c r="D1658" s="375"/>
      <c r="E1658" s="375"/>
      <c r="F1658" s="375"/>
      <c r="G1658" s="375"/>
      <c r="H1658" s="375"/>
      <c r="I1658" s="375"/>
      <c r="J1658" s="375"/>
      <c r="K1658" s="375"/>
    </row>
    <row r="1659" spans="1:11" ht="12.75">
      <c r="A1659" s="375"/>
      <c r="B1659" s="375"/>
      <c r="C1659" s="375"/>
      <c r="D1659" s="375"/>
      <c r="E1659" s="375"/>
      <c r="F1659" s="375"/>
      <c r="G1659" s="375"/>
      <c r="H1659" s="375"/>
      <c r="I1659" s="375"/>
      <c r="J1659" s="375"/>
      <c r="K1659" s="375"/>
    </row>
    <row r="1660" spans="1:11" ht="12.75">
      <c r="A1660" s="375"/>
      <c r="B1660" s="375"/>
      <c r="C1660" s="375"/>
      <c r="D1660" s="375"/>
      <c r="E1660" s="375"/>
      <c r="F1660" s="375"/>
      <c r="G1660" s="375"/>
      <c r="H1660" s="375"/>
      <c r="I1660" s="375"/>
      <c r="J1660" s="375"/>
      <c r="K1660" s="375"/>
    </row>
    <row r="1661" spans="1:11" ht="12.75">
      <c r="A1661" s="375"/>
      <c r="B1661" s="375"/>
      <c r="C1661" s="375"/>
      <c r="D1661" s="375"/>
      <c r="E1661" s="375"/>
      <c r="F1661" s="375"/>
      <c r="G1661" s="375"/>
      <c r="H1661" s="375"/>
      <c r="I1661" s="375"/>
      <c r="J1661" s="375"/>
      <c r="K1661" s="375"/>
    </row>
    <row r="1662" spans="1:11" ht="12.75">
      <c r="A1662" s="375"/>
      <c r="B1662" s="375"/>
      <c r="C1662" s="375"/>
      <c r="D1662" s="375"/>
      <c r="E1662" s="375"/>
      <c r="F1662" s="375"/>
      <c r="G1662" s="375"/>
      <c r="H1662" s="375"/>
      <c r="I1662" s="375"/>
      <c r="J1662" s="375"/>
      <c r="K1662" s="375"/>
    </row>
    <row r="1663" spans="1:11" ht="12.75">
      <c r="A1663" s="375"/>
      <c r="B1663" s="375"/>
      <c r="C1663" s="375"/>
      <c r="D1663" s="375"/>
      <c r="E1663" s="375"/>
      <c r="F1663" s="375"/>
      <c r="G1663" s="375"/>
      <c r="H1663" s="375"/>
      <c r="I1663" s="375"/>
      <c r="J1663" s="375"/>
      <c r="K1663" s="375"/>
    </row>
    <row r="1664" spans="1:11" ht="12.75">
      <c r="A1664" s="375"/>
      <c r="B1664" s="375"/>
      <c r="C1664" s="375"/>
      <c r="D1664" s="375"/>
      <c r="E1664" s="375"/>
      <c r="F1664" s="375"/>
      <c r="G1664" s="375"/>
      <c r="H1664" s="375"/>
      <c r="I1664" s="375"/>
      <c r="J1664" s="375"/>
      <c r="K1664" s="375"/>
    </row>
    <row r="1665" spans="1:11" ht="12.75">
      <c r="A1665" s="375"/>
      <c r="B1665" s="375"/>
      <c r="C1665" s="375"/>
      <c r="D1665" s="375"/>
      <c r="E1665" s="375"/>
      <c r="F1665" s="375"/>
      <c r="G1665" s="375"/>
      <c r="H1665" s="375"/>
      <c r="I1665" s="375"/>
      <c r="J1665" s="375"/>
      <c r="K1665" s="375"/>
    </row>
    <row r="1666" spans="1:11" ht="12.75">
      <c r="A1666" s="375"/>
      <c r="B1666" s="375"/>
      <c r="C1666" s="375"/>
      <c r="D1666" s="375"/>
      <c r="E1666" s="375"/>
      <c r="F1666" s="375"/>
      <c r="G1666" s="375"/>
      <c r="H1666" s="375"/>
      <c r="I1666" s="375"/>
      <c r="J1666" s="375"/>
      <c r="K1666" s="375"/>
    </row>
    <row r="1667" spans="1:11" ht="12.75">
      <c r="A1667" s="375"/>
      <c r="B1667" s="375"/>
      <c r="C1667" s="375"/>
      <c r="D1667" s="375"/>
      <c r="E1667" s="375"/>
      <c r="F1667" s="375"/>
      <c r="G1667" s="375"/>
      <c r="H1667" s="375"/>
      <c r="I1667" s="375"/>
      <c r="J1667" s="375"/>
      <c r="K1667" s="375"/>
    </row>
    <row r="1668" spans="1:11" ht="12.75">
      <c r="A1668" s="375"/>
      <c r="B1668" s="375"/>
      <c r="C1668" s="375"/>
      <c r="D1668" s="375"/>
      <c r="E1668" s="375"/>
      <c r="F1668" s="375"/>
      <c r="G1668" s="375"/>
      <c r="H1668" s="375"/>
      <c r="I1668" s="375"/>
      <c r="J1668" s="375"/>
      <c r="K1668" s="375"/>
    </row>
    <row r="1669" spans="1:11" ht="12.75">
      <c r="A1669" s="375"/>
      <c r="B1669" s="375"/>
      <c r="C1669" s="375"/>
      <c r="D1669" s="375"/>
      <c r="E1669" s="375"/>
      <c r="F1669" s="375"/>
      <c r="G1669" s="375"/>
      <c r="H1669" s="375"/>
      <c r="I1669" s="375"/>
      <c r="J1669" s="375"/>
      <c r="K1669" s="375"/>
    </row>
    <row r="1670" spans="1:11" ht="12.75">
      <c r="A1670" s="375"/>
      <c r="B1670" s="375"/>
      <c r="C1670" s="375"/>
      <c r="D1670" s="375"/>
      <c r="E1670" s="375"/>
      <c r="F1670" s="375"/>
      <c r="G1670" s="375"/>
      <c r="H1670" s="375"/>
      <c r="I1670" s="375"/>
      <c r="J1670" s="375"/>
      <c r="K1670" s="375"/>
    </row>
    <row r="1671" spans="1:11" ht="12.75">
      <c r="A1671" s="375"/>
      <c r="B1671" s="375"/>
      <c r="C1671" s="375"/>
      <c r="D1671" s="375"/>
      <c r="E1671" s="375"/>
      <c r="F1671" s="375"/>
      <c r="G1671" s="375"/>
      <c r="H1671" s="375"/>
      <c r="I1671" s="375"/>
      <c r="J1671" s="375"/>
      <c r="K1671" s="375"/>
    </row>
    <row r="1672" spans="1:11" ht="12.75">
      <c r="A1672" s="375"/>
      <c r="B1672" s="375"/>
      <c r="C1672" s="375"/>
      <c r="D1672" s="375"/>
      <c r="E1672" s="375"/>
      <c r="F1672" s="375"/>
      <c r="G1672" s="375"/>
      <c r="H1672" s="375"/>
      <c r="I1672" s="375"/>
      <c r="J1672" s="375"/>
      <c r="K1672" s="375"/>
    </row>
    <row r="1673" spans="1:11" ht="12.75">
      <c r="A1673" s="375"/>
      <c r="B1673" s="375"/>
      <c r="C1673" s="375"/>
      <c r="D1673" s="375"/>
      <c r="E1673" s="375"/>
      <c r="F1673" s="375"/>
      <c r="G1673" s="375"/>
      <c r="H1673" s="375"/>
      <c r="I1673" s="375"/>
      <c r="J1673" s="375"/>
      <c r="K1673" s="375"/>
    </row>
    <row r="1674" spans="1:11" ht="12.75">
      <c r="A1674" s="375"/>
      <c r="B1674" s="375"/>
      <c r="C1674" s="375"/>
      <c r="D1674" s="375"/>
      <c r="E1674" s="375"/>
      <c r="F1674" s="375"/>
      <c r="G1674" s="375"/>
      <c r="H1674" s="375"/>
      <c r="I1674" s="375"/>
      <c r="J1674" s="375"/>
      <c r="K1674" s="375"/>
    </row>
    <row r="1675" spans="1:11" ht="12.75">
      <c r="A1675" s="375"/>
      <c r="B1675" s="375"/>
      <c r="C1675" s="375"/>
      <c r="D1675" s="375"/>
      <c r="E1675" s="375"/>
      <c r="F1675" s="375"/>
      <c r="G1675" s="375"/>
      <c r="H1675" s="375"/>
      <c r="I1675" s="375"/>
      <c r="J1675" s="375"/>
      <c r="K1675" s="375"/>
    </row>
    <row r="1676" spans="1:11" ht="12.75">
      <c r="A1676" s="375"/>
      <c r="B1676" s="375"/>
      <c r="C1676" s="375"/>
      <c r="D1676" s="375"/>
      <c r="E1676" s="375"/>
      <c r="F1676" s="375"/>
      <c r="G1676" s="375"/>
      <c r="H1676" s="375"/>
      <c r="I1676" s="375"/>
      <c r="J1676" s="375"/>
      <c r="K1676" s="375"/>
    </row>
    <row r="1677" spans="1:11" ht="12.75">
      <c r="A1677" s="375"/>
      <c r="B1677" s="375"/>
      <c r="C1677" s="375"/>
      <c r="D1677" s="375"/>
      <c r="E1677" s="375"/>
      <c r="F1677" s="375"/>
      <c r="G1677" s="375"/>
      <c r="H1677" s="375"/>
      <c r="I1677" s="375"/>
      <c r="J1677" s="375"/>
      <c r="K1677" s="375"/>
    </row>
    <row r="1678" spans="1:11" ht="12.75">
      <c r="A1678" s="375"/>
      <c r="B1678" s="375"/>
      <c r="C1678" s="375"/>
      <c r="D1678" s="375"/>
      <c r="E1678" s="375"/>
      <c r="F1678" s="375"/>
      <c r="G1678" s="375"/>
      <c r="H1678" s="375"/>
      <c r="I1678" s="375"/>
      <c r="J1678" s="375"/>
      <c r="K1678" s="375"/>
    </row>
    <row r="1679" spans="1:11" ht="12.75">
      <c r="A1679" s="375"/>
      <c r="B1679" s="375"/>
      <c r="C1679" s="375"/>
      <c r="D1679" s="375"/>
      <c r="E1679" s="375"/>
      <c r="F1679" s="375"/>
      <c r="G1679" s="375"/>
      <c r="H1679" s="375"/>
      <c r="I1679" s="375"/>
      <c r="J1679" s="375"/>
      <c r="K1679" s="375"/>
    </row>
    <row r="1680" spans="1:11" ht="12.75">
      <c r="A1680" s="375"/>
      <c r="B1680" s="375"/>
      <c r="C1680" s="375"/>
      <c r="D1680" s="375"/>
      <c r="E1680" s="375"/>
      <c r="F1680" s="375"/>
      <c r="G1680" s="375"/>
      <c r="H1680" s="375"/>
      <c r="I1680" s="375"/>
      <c r="J1680" s="375"/>
      <c r="K1680" s="375"/>
    </row>
    <row r="1681" spans="1:11" ht="12.75">
      <c r="A1681" s="375"/>
      <c r="B1681" s="375"/>
      <c r="C1681" s="375"/>
      <c r="D1681" s="375"/>
      <c r="E1681" s="375"/>
      <c r="F1681" s="375"/>
      <c r="G1681" s="375"/>
      <c r="H1681" s="375"/>
      <c r="I1681" s="375"/>
      <c r="J1681" s="375"/>
      <c r="K1681" s="375"/>
    </row>
    <row r="1682" spans="1:11" ht="12.75">
      <c r="A1682" s="375"/>
      <c r="B1682" s="375"/>
      <c r="C1682" s="375"/>
      <c r="D1682" s="375"/>
      <c r="E1682" s="375"/>
      <c r="F1682" s="375"/>
      <c r="G1682" s="375"/>
      <c r="H1682" s="375"/>
      <c r="I1682" s="375"/>
      <c r="J1682" s="375"/>
      <c r="K1682" s="375"/>
    </row>
    <row r="1683" spans="1:11" ht="12.75">
      <c r="A1683" s="375"/>
      <c r="B1683" s="375"/>
      <c r="C1683" s="375"/>
      <c r="D1683" s="375"/>
      <c r="E1683" s="375"/>
      <c r="F1683" s="375"/>
      <c r="G1683" s="375"/>
      <c r="H1683" s="375"/>
      <c r="I1683" s="375"/>
      <c r="J1683" s="375"/>
      <c r="K1683" s="375"/>
    </row>
    <row r="1684" spans="1:11" ht="12.75">
      <c r="A1684" s="375"/>
      <c r="B1684" s="375"/>
      <c r="C1684" s="375"/>
      <c r="D1684" s="375"/>
      <c r="E1684" s="375"/>
      <c r="F1684" s="375"/>
      <c r="G1684" s="375"/>
      <c r="H1684" s="375"/>
      <c r="I1684" s="375"/>
      <c r="J1684" s="375"/>
      <c r="K1684" s="375"/>
    </row>
    <row r="1685" spans="1:11" ht="12.75">
      <c r="A1685" s="375"/>
      <c r="B1685" s="375"/>
      <c r="C1685" s="375"/>
      <c r="D1685" s="375"/>
      <c r="E1685" s="375"/>
      <c r="F1685" s="375"/>
      <c r="G1685" s="375"/>
      <c r="H1685" s="375"/>
      <c r="I1685" s="375"/>
      <c r="J1685" s="375"/>
      <c r="K1685" s="375"/>
    </row>
    <row r="1686" spans="1:11" ht="12.75">
      <c r="A1686" s="375"/>
      <c r="B1686" s="375"/>
      <c r="C1686" s="375"/>
      <c r="D1686" s="375"/>
      <c r="E1686" s="375"/>
      <c r="F1686" s="375"/>
      <c r="G1686" s="375"/>
      <c r="H1686" s="375"/>
      <c r="I1686" s="375"/>
      <c r="J1686" s="375"/>
      <c r="K1686" s="375"/>
    </row>
    <row r="1687" spans="1:11" ht="12.75">
      <c r="A1687" s="375"/>
      <c r="B1687" s="375"/>
      <c r="C1687" s="375"/>
      <c r="D1687" s="375"/>
      <c r="E1687" s="375"/>
      <c r="F1687" s="375"/>
      <c r="G1687" s="375"/>
      <c r="H1687" s="375"/>
      <c r="I1687" s="375"/>
      <c r="J1687" s="375"/>
      <c r="K1687" s="375"/>
    </row>
    <row r="1688" spans="1:11" ht="12.75">
      <c r="A1688" s="375"/>
      <c r="B1688" s="375"/>
      <c r="C1688" s="375"/>
      <c r="D1688" s="375"/>
      <c r="E1688" s="375"/>
      <c r="F1688" s="375"/>
      <c r="G1688" s="375"/>
      <c r="H1688" s="375"/>
      <c r="I1688" s="375"/>
      <c r="J1688" s="375"/>
      <c r="K1688" s="375"/>
    </row>
    <row r="1689" spans="1:11" ht="12.75">
      <c r="A1689" s="375"/>
      <c r="B1689" s="375"/>
      <c r="C1689" s="375"/>
      <c r="D1689" s="375"/>
      <c r="E1689" s="375"/>
      <c r="F1689" s="375"/>
      <c r="G1689" s="375"/>
      <c r="H1689" s="375"/>
      <c r="I1689" s="375"/>
      <c r="J1689" s="375"/>
      <c r="K1689" s="375"/>
    </row>
    <row r="1690" spans="1:11" ht="12.75">
      <c r="A1690" s="375"/>
      <c r="B1690" s="375"/>
      <c r="C1690" s="375"/>
      <c r="D1690" s="375"/>
      <c r="E1690" s="375"/>
      <c r="F1690" s="375"/>
      <c r="G1690" s="375"/>
      <c r="H1690" s="375"/>
      <c r="I1690" s="375"/>
      <c r="J1690" s="375"/>
      <c r="K1690" s="375"/>
    </row>
    <row r="1691" spans="1:11" ht="12.75">
      <c r="A1691" s="375"/>
      <c r="B1691" s="375"/>
      <c r="C1691" s="375"/>
      <c r="D1691" s="375"/>
      <c r="E1691" s="375"/>
      <c r="F1691" s="375"/>
      <c r="G1691" s="375"/>
      <c r="H1691" s="375"/>
      <c r="I1691" s="375"/>
      <c r="J1691" s="375"/>
      <c r="K1691" s="375"/>
    </row>
    <row r="1692" spans="1:11" ht="12.75">
      <c r="A1692" s="375"/>
      <c r="B1692" s="375"/>
      <c r="C1692" s="375"/>
      <c r="D1692" s="375"/>
      <c r="E1692" s="375"/>
      <c r="F1692" s="375"/>
      <c r="G1692" s="375"/>
      <c r="H1692" s="375"/>
      <c r="I1692" s="375"/>
      <c r="J1692" s="375"/>
      <c r="K1692" s="375"/>
    </row>
    <row r="1693" spans="1:11" ht="12.75">
      <c r="A1693" s="375"/>
      <c r="B1693" s="375"/>
      <c r="C1693" s="375"/>
      <c r="D1693" s="375"/>
      <c r="E1693" s="375"/>
      <c r="F1693" s="375"/>
      <c r="G1693" s="375"/>
      <c r="H1693" s="375"/>
      <c r="I1693" s="375"/>
      <c r="J1693" s="375"/>
      <c r="K1693" s="375"/>
    </row>
    <row r="1694" spans="1:11" ht="12.75">
      <c r="A1694" s="375"/>
      <c r="B1694" s="375"/>
      <c r="C1694" s="375"/>
      <c r="D1694" s="375"/>
      <c r="E1694" s="375"/>
      <c r="F1694" s="375"/>
      <c r="G1694" s="375"/>
      <c r="H1694" s="375"/>
      <c r="I1694" s="375"/>
      <c r="J1694" s="375"/>
      <c r="K1694" s="375"/>
    </row>
    <row r="1695" spans="1:11" ht="12.75">
      <c r="A1695" s="375"/>
      <c r="B1695" s="375"/>
      <c r="C1695" s="375"/>
      <c r="D1695" s="375"/>
      <c r="E1695" s="375"/>
      <c r="F1695" s="375"/>
      <c r="G1695" s="375"/>
      <c r="H1695" s="375"/>
      <c r="I1695" s="375"/>
      <c r="J1695" s="375"/>
      <c r="K1695" s="375"/>
    </row>
    <row r="1696" spans="1:11" ht="12.75">
      <c r="A1696" s="375"/>
      <c r="B1696" s="375"/>
      <c r="C1696" s="375"/>
      <c r="D1696" s="375"/>
      <c r="E1696" s="375"/>
      <c r="F1696" s="375"/>
      <c r="G1696" s="375"/>
      <c r="H1696" s="375"/>
      <c r="I1696" s="375"/>
      <c r="J1696" s="375"/>
      <c r="K1696" s="375"/>
    </row>
    <row r="1697" spans="1:11" ht="12.75">
      <c r="A1697" s="375"/>
      <c r="B1697" s="375"/>
      <c r="C1697" s="375"/>
      <c r="D1697" s="375"/>
      <c r="E1697" s="375"/>
      <c r="F1697" s="375"/>
      <c r="G1697" s="375"/>
      <c r="H1697" s="375"/>
      <c r="I1697" s="375"/>
      <c r="J1697" s="375"/>
      <c r="K1697" s="375"/>
    </row>
    <row r="1698" spans="1:11" ht="12.75">
      <c r="A1698" s="375"/>
      <c r="B1698" s="375"/>
      <c r="C1698" s="375"/>
      <c r="D1698" s="375"/>
      <c r="E1698" s="375"/>
      <c r="F1698" s="375"/>
      <c r="G1698" s="375"/>
      <c r="H1698" s="375"/>
      <c r="I1698" s="375"/>
      <c r="J1698" s="375"/>
      <c r="K1698" s="375"/>
    </row>
    <row r="1699" spans="1:11" ht="12.75">
      <c r="A1699" s="375"/>
      <c r="B1699" s="375"/>
      <c r="C1699" s="375"/>
      <c r="D1699" s="375"/>
      <c r="E1699" s="375"/>
      <c r="F1699" s="375"/>
      <c r="G1699" s="375"/>
      <c r="H1699" s="375"/>
      <c r="I1699" s="375"/>
      <c r="J1699" s="375"/>
      <c r="K1699" s="375"/>
    </row>
    <row r="1700" spans="1:11" ht="12.75">
      <c r="A1700" s="375"/>
      <c r="B1700" s="375"/>
      <c r="C1700" s="375"/>
      <c r="D1700" s="375"/>
      <c r="E1700" s="375"/>
      <c r="F1700" s="375"/>
      <c r="G1700" s="375"/>
      <c r="H1700" s="375"/>
      <c r="I1700" s="375"/>
      <c r="J1700" s="375"/>
      <c r="K1700" s="375"/>
    </row>
    <row r="1701" spans="1:11" ht="12.75">
      <c r="A1701" s="375"/>
      <c r="B1701" s="375"/>
      <c r="C1701" s="375"/>
      <c r="D1701" s="375"/>
      <c r="E1701" s="375"/>
      <c r="F1701" s="375"/>
      <c r="G1701" s="375"/>
      <c r="H1701" s="375"/>
      <c r="I1701" s="375"/>
      <c r="J1701" s="375"/>
      <c r="K1701" s="375"/>
    </row>
    <row r="1702" spans="1:11" ht="12.75">
      <c r="A1702" s="375"/>
      <c r="B1702" s="375"/>
      <c r="C1702" s="375"/>
      <c r="D1702" s="375"/>
      <c r="E1702" s="375"/>
      <c r="F1702" s="375"/>
      <c r="G1702" s="375"/>
      <c r="H1702" s="375"/>
      <c r="I1702" s="375"/>
      <c r="J1702" s="375"/>
      <c r="K1702" s="375"/>
    </row>
    <row r="1703" spans="1:11" ht="12.75">
      <c r="A1703" s="375"/>
      <c r="B1703" s="375"/>
      <c r="C1703" s="375"/>
      <c r="D1703" s="375"/>
      <c r="E1703" s="375"/>
      <c r="F1703" s="375"/>
      <c r="G1703" s="375"/>
      <c r="H1703" s="375"/>
      <c r="I1703" s="375"/>
      <c r="J1703" s="375"/>
      <c r="K1703" s="375"/>
    </row>
    <row r="1704" spans="1:11" ht="12.75">
      <c r="A1704" s="375"/>
      <c r="B1704" s="375"/>
      <c r="C1704" s="375"/>
      <c r="D1704" s="375"/>
      <c r="E1704" s="375"/>
      <c r="F1704" s="375"/>
      <c r="G1704" s="375"/>
      <c r="H1704" s="375"/>
      <c r="I1704" s="375"/>
      <c r="J1704" s="375"/>
      <c r="K1704" s="375"/>
    </row>
    <row r="1705" spans="1:11" ht="12.75">
      <c r="A1705" s="375"/>
      <c r="B1705" s="375"/>
      <c r="C1705" s="375"/>
      <c r="D1705" s="375"/>
      <c r="E1705" s="375"/>
      <c r="F1705" s="375"/>
      <c r="G1705" s="375"/>
      <c r="H1705" s="375"/>
      <c r="I1705" s="375"/>
      <c r="J1705" s="375"/>
      <c r="K1705" s="375"/>
    </row>
    <row r="1706" spans="1:11" ht="12.75">
      <c r="A1706" s="375"/>
      <c r="B1706" s="375"/>
      <c r="C1706" s="375"/>
      <c r="D1706" s="375"/>
      <c r="E1706" s="375"/>
      <c r="F1706" s="375"/>
      <c r="G1706" s="375"/>
      <c r="H1706" s="375"/>
      <c r="I1706" s="375"/>
      <c r="J1706" s="375"/>
      <c r="K1706" s="375"/>
    </row>
    <row r="1707" spans="1:11" ht="12.75">
      <c r="A1707" s="375"/>
      <c r="B1707" s="375"/>
      <c r="C1707" s="375"/>
      <c r="D1707" s="375"/>
      <c r="E1707" s="375"/>
      <c r="F1707" s="375"/>
      <c r="G1707" s="375"/>
      <c r="H1707" s="375"/>
      <c r="I1707" s="375"/>
      <c r="J1707" s="375"/>
      <c r="K1707" s="375"/>
    </row>
    <row r="1708" spans="1:11" ht="12.75">
      <c r="A1708" s="375"/>
      <c r="B1708" s="375"/>
      <c r="C1708" s="375"/>
      <c r="D1708" s="375"/>
      <c r="E1708" s="375"/>
      <c r="F1708" s="375"/>
      <c r="G1708" s="375"/>
      <c r="H1708" s="375"/>
      <c r="I1708" s="375"/>
      <c r="J1708" s="375"/>
      <c r="K1708" s="375"/>
    </row>
    <row r="1709" spans="1:11" ht="12.75">
      <c r="A1709" s="375"/>
      <c r="B1709" s="375"/>
      <c r="C1709" s="375"/>
      <c r="D1709" s="375"/>
      <c r="E1709" s="375"/>
      <c r="F1709" s="375"/>
      <c r="G1709" s="375"/>
      <c r="H1709" s="375"/>
      <c r="I1709" s="375"/>
      <c r="J1709" s="375"/>
      <c r="K1709" s="375"/>
    </row>
    <row r="1710" spans="1:11" ht="12.75">
      <c r="A1710" s="375"/>
      <c r="B1710" s="375"/>
      <c r="C1710" s="375"/>
      <c r="D1710" s="375"/>
      <c r="E1710" s="375"/>
      <c r="F1710" s="375"/>
      <c r="G1710" s="375"/>
      <c r="H1710" s="375"/>
      <c r="I1710" s="375"/>
      <c r="J1710" s="375"/>
      <c r="K1710" s="375"/>
    </row>
    <row r="1711" spans="1:11" ht="12.75">
      <c r="A1711" s="375"/>
      <c r="B1711" s="375"/>
      <c r="C1711" s="375"/>
      <c r="D1711" s="375"/>
      <c r="E1711" s="375"/>
      <c r="F1711" s="375"/>
      <c r="G1711" s="375"/>
      <c r="H1711" s="375"/>
      <c r="I1711" s="375"/>
      <c r="J1711" s="375"/>
      <c r="K1711" s="375"/>
    </row>
    <row r="1712" spans="1:11" ht="12.75">
      <c r="A1712" s="375"/>
      <c r="B1712" s="375"/>
      <c r="C1712" s="375"/>
      <c r="D1712" s="375"/>
      <c r="E1712" s="375"/>
      <c r="F1712" s="375"/>
      <c r="G1712" s="375"/>
      <c r="H1712" s="375"/>
      <c r="I1712" s="375"/>
      <c r="J1712" s="375"/>
      <c r="K1712" s="375"/>
    </row>
    <row r="1713" spans="1:11" ht="12.75">
      <c r="A1713" s="375"/>
      <c r="B1713" s="375"/>
      <c r="C1713" s="375"/>
      <c r="D1713" s="375"/>
      <c r="E1713" s="375"/>
      <c r="F1713" s="375"/>
      <c r="G1713" s="375"/>
      <c r="H1713" s="375"/>
      <c r="I1713" s="375"/>
      <c r="J1713" s="375"/>
      <c r="K1713" s="375"/>
    </row>
    <row r="1714" spans="1:11" ht="12.75">
      <c r="A1714" s="375"/>
      <c r="B1714" s="375"/>
      <c r="C1714" s="375"/>
      <c r="D1714" s="375"/>
      <c r="E1714" s="375"/>
      <c r="F1714" s="375"/>
      <c r="G1714" s="375"/>
      <c r="H1714" s="375"/>
      <c r="I1714" s="375"/>
      <c r="J1714" s="375"/>
      <c r="K1714" s="375"/>
    </row>
    <row r="1715" spans="1:11" ht="12.75">
      <c r="A1715" s="375"/>
      <c r="B1715" s="375"/>
      <c r="C1715" s="375"/>
      <c r="D1715" s="375"/>
      <c r="E1715" s="375"/>
      <c r="F1715" s="375"/>
      <c r="G1715" s="375"/>
      <c r="H1715" s="375"/>
      <c r="I1715" s="375"/>
      <c r="J1715" s="375"/>
      <c r="K1715" s="375"/>
    </row>
    <row r="1716" spans="1:11" ht="12.75">
      <c r="A1716" s="375"/>
      <c r="B1716" s="375"/>
      <c r="C1716" s="375"/>
      <c r="D1716" s="375"/>
      <c r="E1716" s="375"/>
      <c r="F1716" s="375"/>
      <c r="G1716" s="375"/>
      <c r="H1716" s="375"/>
      <c r="I1716" s="375"/>
      <c r="J1716" s="375"/>
      <c r="K1716" s="375"/>
    </row>
    <row r="1717" spans="1:11" ht="12.75">
      <c r="A1717" s="375"/>
      <c r="B1717" s="375"/>
      <c r="C1717" s="375"/>
      <c r="D1717" s="375"/>
      <c r="E1717" s="375"/>
      <c r="F1717" s="375"/>
      <c r="G1717" s="375"/>
      <c r="H1717" s="375"/>
      <c r="I1717" s="375"/>
      <c r="J1717" s="375"/>
      <c r="K1717" s="375"/>
    </row>
    <row r="1718" spans="1:11" ht="12.75">
      <c r="A1718" s="375"/>
      <c r="B1718" s="375"/>
      <c r="C1718" s="375"/>
      <c r="D1718" s="375"/>
      <c r="E1718" s="375"/>
      <c r="F1718" s="375"/>
      <c r="G1718" s="375"/>
      <c r="H1718" s="375"/>
      <c r="I1718" s="375"/>
      <c r="J1718" s="375"/>
      <c r="K1718" s="375"/>
    </row>
    <row r="1719" spans="1:11" ht="12.75">
      <c r="A1719" s="375"/>
      <c r="B1719" s="375"/>
      <c r="C1719" s="375"/>
      <c r="D1719" s="375"/>
      <c r="E1719" s="375"/>
      <c r="F1719" s="375"/>
      <c r="G1719" s="375"/>
      <c r="H1719" s="375"/>
      <c r="I1719" s="375"/>
      <c r="J1719" s="375"/>
      <c r="K1719" s="375"/>
    </row>
    <row r="1720" spans="1:11" ht="12.75">
      <c r="A1720" s="375"/>
      <c r="B1720" s="375"/>
      <c r="C1720" s="375"/>
      <c r="D1720" s="375"/>
      <c r="E1720" s="375"/>
      <c r="F1720" s="375"/>
      <c r="G1720" s="375"/>
      <c r="H1720" s="375"/>
      <c r="I1720" s="375"/>
      <c r="J1720" s="375"/>
      <c r="K1720" s="375"/>
    </row>
    <row r="1721" spans="1:11" ht="12.75">
      <c r="A1721" s="375"/>
      <c r="B1721" s="375"/>
      <c r="C1721" s="375"/>
      <c r="D1721" s="375"/>
      <c r="E1721" s="375"/>
      <c r="F1721" s="375"/>
      <c r="G1721" s="375"/>
      <c r="H1721" s="375"/>
      <c r="I1721" s="375"/>
      <c r="J1721" s="375"/>
      <c r="K1721" s="375"/>
    </row>
    <row r="1722" spans="1:11" ht="12.75">
      <c r="A1722" s="375"/>
      <c r="B1722" s="375"/>
      <c r="C1722" s="375"/>
      <c r="D1722" s="375"/>
      <c r="E1722" s="375"/>
      <c r="F1722" s="375"/>
      <c r="G1722" s="375"/>
      <c r="H1722" s="375"/>
      <c r="I1722" s="375"/>
      <c r="J1722" s="375"/>
      <c r="K1722" s="375"/>
    </row>
    <row r="1723" spans="1:11" ht="12.75">
      <c r="A1723" s="375"/>
      <c r="B1723" s="375"/>
      <c r="C1723" s="375"/>
      <c r="D1723" s="375"/>
      <c r="E1723" s="375"/>
      <c r="F1723" s="375"/>
      <c r="G1723" s="375"/>
      <c r="H1723" s="375"/>
      <c r="I1723" s="375"/>
      <c r="J1723" s="375"/>
      <c r="K1723" s="375"/>
    </row>
    <row r="1724" spans="1:11" ht="12.75">
      <c r="A1724" s="375"/>
      <c r="B1724" s="375"/>
      <c r="C1724" s="375"/>
      <c r="D1724" s="375"/>
      <c r="E1724" s="375"/>
      <c r="F1724" s="375"/>
      <c r="G1724" s="375"/>
      <c r="H1724" s="375"/>
      <c r="I1724" s="375"/>
      <c r="J1724" s="375"/>
      <c r="K1724" s="375"/>
    </row>
    <row r="1725" spans="1:11" ht="12.75">
      <c r="A1725" s="375"/>
      <c r="B1725" s="375"/>
      <c r="C1725" s="375"/>
      <c r="D1725" s="375"/>
      <c r="E1725" s="375"/>
      <c r="F1725" s="375"/>
      <c r="G1725" s="375"/>
      <c r="H1725" s="375"/>
      <c r="I1725" s="375"/>
      <c r="J1725" s="375"/>
      <c r="K1725" s="375"/>
    </row>
    <row r="1726" spans="1:11" ht="12.75">
      <c r="A1726" s="375"/>
      <c r="B1726" s="375"/>
      <c r="C1726" s="375"/>
      <c r="D1726" s="375"/>
      <c r="E1726" s="375"/>
      <c r="F1726" s="375"/>
      <c r="G1726" s="375"/>
      <c r="H1726" s="375"/>
      <c r="I1726" s="375"/>
      <c r="J1726" s="375"/>
      <c r="K1726" s="375"/>
    </row>
    <row r="1727" spans="1:11" ht="12.75">
      <c r="A1727" s="375"/>
      <c r="B1727" s="375"/>
      <c r="C1727" s="375"/>
      <c r="D1727" s="375"/>
      <c r="E1727" s="375"/>
      <c r="F1727" s="375"/>
      <c r="G1727" s="375"/>
      <c r="H1727" s="375"/>
      <c r="I1727" s="375"/>
      <c r="J1727" s="375"/>
      <c r="K1727" s="375"/>
    </row>
    <row r="1728" spans="1:11" ht="12.75">
      <c r="A1728" s="375"/>
      <c r="B1728" s="375"/>
      <c r="C1728" s="375"/>
      <c r="D1728" s="375"/>
      <c r="E1728" s="375"/>
      <c r="F1728" s="375"/>
      <c r="G1728" s="375"/>
      <c r="H1728" s="375"/>
      <c r="I1728" s="375"/>
      <c r="J1728" s="375"/>
      <c r="K1728" s="375"/>
    </row>
    <row r="1729" spans="1:11" ht="12.75">
      <c r="A1729" s="375"/>
      <c r="B1729" s="375"/>
      <c r="C1729" s="375"/>
      <c r="D1729" s="375"/>
      <c r="E1729" s="375"/>
      <c r="F1729" s="375"/>
      <c r="G1729" s="375"/>
      <c r="H1729" s="375"/>
      <c r="I1729" s="375"/>
      <c r="J1729" s="375"/>
      <c r="K1729" s="375"/>
    </row>
    <row r="1730" spans="1:11" ht="12.75">
      <c r="A1730" s="375"/>
      <c r="B1730" s="375"/>
      <c r="C1730" s="375"/>
      <c r="D1730" s="375"/>
      <c r="E1730" s="375"/>
      <c r="F1730" s="375"/>
      <c r="G1730" s="375"/>
      <c r="H1730" s="375"/>
      <c r="I1730" s="375"/>
      <c r="J1730" s="375"/>
      <c r="K1730" s="375"/>
    </row>
    <row r="1731" spans="1:11" ht="12.75">
      <c r="A1731" s="375"/>
      <c r="B1731" s="375"/>
      <c r="C1731" s="375"/>
      <c r="D1731" s="375"/>
      <c r="E1731" s="375"/>
      <c r="F1731" s="375"/>
      <c r="G1731" s="375"/>
      <c r="H1731" s="375"/>
      <c r="I1731" s="375"/>
      <c r="J1731" s="375"/>
      <c r="K1731" s="375"/>
    </row>
    <row r="1732" spans="1:11" ht="12.75">
      <c r="A1732" s="375"/>
      <c r="B1732" s="375"/>
      <c r="C1732" s="375"/>
      <c r="D1732" s="375"/>
      <c r="E1732" s="375"/>
      <c r="F1732" s="375"/>
      <c r="G1732" s="375"/>
      <c r="H1732" s="375"/>
      <c r="I1732" s="375"/>
      <c r="J1732" s="375"/>
      <c r="K1732" s="375"/>
    </row>
    <row r="1733" spans="1:11" ht="12.75">
      <c r="A1733" s="375"/>
      <c r="B1733" s="375"/>
      <c r="C1733" s="375"/>
      <c r="D1733" s="375"/>
      <c r="E1733" s="375"/>
      <c r="F1733" s="375"/>
      <c r="G1733" s="375"/>
      <c r="H1733" s="375"/>
      <c r="I1733" s="375"/>
      <c r="J1733" s="375"/>
      <c r="K1733" s="375"/>
    </row>
    <row r="1734" spans="1:11" ht="12.75">
      <c r="A1734" s="375"/>
      <c r="B1734" s="375"/>
      <c r="C1734" s="375"/>
      <c r="D1734" s="375"/>
      <c r="E1734" s="375"/>
      <c r="F1734" s="375"/>
      <c r="G1734" s="375"/>
      <c r="H1734" s="375"/>
      <c r="I1734" s="375"/>
      <c r="J1734" s="375"/>
      <c r="K1734" s="375"/>
    </row>
    <row r="1735" spans="1:11" ht="12.75">
      <c r="A1735" s="375"/>
      <c r="B1735" s="375"/>
      <c r="C1735" s="375"/>
      <c r="D1735" s="375"/>
      <c r="E1735" s="375"/>
      <c r="F1735" s="375"/>
      <c r="G1735" s="375"/>
      <c r="H1735" s="375"/>
      <c r="I1735" s="375"/>
      <c r="J1735" s="375"/>
      <c r="K1735" s="375"/>
    </row>
    <row r="1736" spans="1:11" ht="12.75">
      <c r="A1736" s="375"/>
      <c r="B1736" s="375"/>
      <c r="C1736" s="375"/>
      <c r="D1736" s="375"/>
      <c r="E1736" s="375"/>
      <c r="F1736" s="375"/>
      <c r="G1736" s="375"/>
      <c r="H1736" s="375"/>
      <c r="I1736" s="375"/>
      <c r="J1736" s="375"/>
      <c r="K1736" s="375"/>
    </row>
    <row r="1737" spans="1:11" ht="12.75">
      <c r="A1737" s="375"/>
      <c r="B1737" s="375"/>
      <c r="C1737" s="375"/>
      <c r="D1737" s="375"/>
      <c r="E1737" s="375"/>
      <c r="F1737" s="375"/>
      <c r="G1737" s="375"/>
      <c r="H1737" s="375"/>
      <c r="I1737" s="375"/>
      <c r="J1737" s="375"/>
      <c r="K1737" s="375"/>
    </row>
    <row r="1738" spans="1:11" ht="12.75">
      <c r="A1738" s="375"/>
      <c r="B1738" s="375"/>
      <c r="C1738" s="375"/>
      <c r="D1738" s="375"/>
      <c r="E1738" s="375"/>
      <c r="F1738" s="375"/>
      <c r="G1738" s="375"/>
      <c r="H1738" s="375"/>
      <c r="I1738" s="375"/>
      <c r="J1738" s="375"/>
      <c r="K1738" s="375"/>
    </row>
    <row r="1739" spans="1:11" ht="12.75">
      <c r="A1739" s="375"/>
      <c r="B1739" s="375"/>
      <c r="C1739" s="375"/>
      <c r="D1739" s="375"/>
      <c r="E1739" s="375"/>
      <c r="F1739" s="375"/>
      <c r="G1739" s="375"/>
      <c r="H1739" s="375"/>
      <c r="I1739" s="375"/>
      <c r="J1739" s="375"/>
      <c r="K1739" s="375"/>
    </row>
    <row r="1740" spans="1:11" ht="12.75">
      <c r="A1740" s="375"/>
      <c r="B1740" s="375"/>
      <c r="C1740" s="375"/>
      <c r="D1740" s="375"/>
      <c r="E1740" s="375"/>
      <c r="F1740" s="375"/>
      <c r="G1740" s="375"/>
      <c r="H1740" s="375"/>
      <c r="I1740" s="375"/>
      <c r="J1740" s="375"/>
      <c r="K1740" s="375"/>
    </row>
    <row r="1741" spans="1:11" ht="12.75">
      <c r="A1741" s="375"/>
      <c r="B1741" s="375"/>
      <c r="C1741" s="375"/>
      <c r="D1741" s="375"/>
      <c r="E1741" s="375"/>
      <c r="F1741" s="375"/>
      <c r="G1741" s="375"/>
      <c r="H1741" s="375"/>
      <c r="I1741" s="375"/>
      <c r="J1741" s="375"/>
      <c r="K1741" s="375"/>
    </row>
    <row r="1742" spans="1:11" ht="12.75">
      <c r="A1742" s="375"/>
      <c r="B1742" s="375"/>
      <c r="C1742" s="375"/>
      <c r="D1742" s="375"/>
      <c r="E1742" s="375"/>
      <c r="F1742" s="375"/>
      <c r="G1742" s="375"/>
      <c r="H1742" s="375"/>
      <c r="I1742" s="375"/>
      <c r="J1742" s="375"/>
      <c r="K1742" s="375"/>
    </row>
    <row r="1743" spans="1:11" ht="12.75">
      <c r="A1743" s="375"/>
      <c r="B1743" s="375"/>
      <c r="C1743" s="375"/>
      <c r="D1743" s="375"/>
      <c r="E1743" s="375"/>
      <c r="F1743" s="375"/>
      <c r="G1743" s="375"/>
      <c r="H1743" s="375"/>
      <c r="I1743" s="375"/>
      <c r="J1743" s="375"/>
      <c r="K1743" s="375"/>
    </row>
    <row r="1744" spans="1:11" ht="12.75">
      <c r="A1744" s="375"/>
      <c r="B1744" s="375"/>
      <c r="C1744" s="375"/>
      <c r="D1744" s="375"/>
      <c r="E1744" s="375"/>
      <c r="F1744" s="375"/>
      <c r="G1744" s="375"/>
      <c r="H1744" s="375"/>
      <c r="I1744" s="375"/>
      <c r="J1744" s="375"/>
      <c r="K1744" s="375"/>
    </row>
    <row r="1745" spans="1:11" ht="12.75">
      <c r="A1745" s="375"/>
      <c r="B1745" s="375"/>
      <c r="C1745" s="375"/>
      <c r="D1745" s="375"/>
      <c r="E1745" s="375"/>
      <c r="F1745" s="375"/>
      <c r="G1745" s="375"/>
      <c r="H1745" s="375"/>
      <c r="I1745" s="375"/>
      <c r="J1745" s="375"/>
      <c r="K1745" s="375"/>
    </row>
    <row r="1746" spans="1:11" ht="12.75">
      <c r="A1746" s="375"/>
      <c r="B1746" s="375"/>
      <c r="C1746" s="375"/>
      <c r="D1746" s="375"/>
      <c r="E1746" s="375"/>
      <c r="F1746" s="375"/>
      <c r="G1746" s="375"/>
      <c r="H1746" s="375"/>
      <c r="I1746" s="375"/>
      <c r="J1746" s="375"/>
      <c r="K1746" s="375"/>
    </row>
    <row r="1747" spans="1:11" ht="12.75">
      <c r="A1747" s="375"/>
      <c r="B1747" s="375"/>
      <c r="C1747" s="375"/>
      <c r="D1747" s="375"/>
      <c r="E1747" s="375"/>
      <c r="F1747" s="375"/>
      <c r="G1747" s="375"/>
      <c r="H1747" s="375"/>
      <c r="I1747" s="375"/>
      <c r="J1747" s="375"/>
      <c r="K1747" s="375"/>
    </row>
    <row r="1748" spans="1:11" ht="12.75">
      <c r="A1748" s="375"/>
      <c r="B1748" s="375"/>
      <c r="C1748" s="375"/>
      <c r="D1748" s="375"/>
      <c r="E1748" s="375"/>
      <c r="F1748" s="375"/>
      <c r="G1748" s="375"/>
      <c r="H1748" s="375"/>
      <c r="I1748" s="375"/>
      <c r="J1748" s="375"/>
      <c r="K1748" s="375"/>
    </row>
    <row r="1749" spans="1:11" ht="12.75">
      <c r="A1749" s="375"/>
      <c r="B1749" s="375"/>
      <c r="C1749" s="375"/>
      <c r="D1749" s="375"/>
      <c r="E1749" s="375"/>
      <c r="F1749" s="375"/>
      <c r="G1749" s="375"/>
      <c r="H1749" s="375"/>
      <c r="I1749" s="375"/>
      <c r="J1749" s="375"/>
      <c r="K1749" s="375"/>
    </row>
    <row r="1750" spans="1:11" ht="12.75">
      <c r="A1750" s="375"/>
      <c r="B1750" s="375"/>
      <c r="C1750" s="375"/>
      <c r="D1750" s="375"/>
      <c r="E1750" s="375"/>
      <c r="F1750" s="375"/>
      <c r="G1750" s="375"/>
      <c r="H1750" s="375"/>
      <c r="I1750" s="375"/>
      <c r="J1750" s="375"/>
      <c r="K1750" s="375"/>
    </row>
    <row r="1751" spans="1:11" ht="12.75">
      <c r="A1751" s="375"/>
      <c r="B1751" s="375"/>
      <c r="C1751" s="375"/>
      <c r="D1751" s="375"/>
      <c r="E1751" s="375"/>
      <c r="F1751" s="375"/>
      <c r="G1751" s="375"/>
      <c r="H1751" s="375"/>
      <c r="I1751" s="375"/>
      <c r="J1751" s="375"/>
      <c r="K1751" s="375"/>
    </row>
    <row r="1752" spans="1:11" ht="12.75">
      <c r="A1752" s="375"/>
      <c r="B1752" s="375"/>
      <c r="C1752" s="375"/>
      <c r="D1752" s="375"/>
      <c r="E1752" s="375"/>
      <c r="F1752" s="375"/>
      <c r="G1752" s="375"/>
      <c r="H1752" s="375"/>
      <c r="I1752" s="375"/>
      <c r="J1752" s="375"/>
      <c r="K1752" s="375"/>
    </row>
    <row r="1753" spans="1:11" ht="12.75">
      <c r="A1753" s="375"/>
      <c r="B1753" s="375"/>
      <c r="C1753" s="375"/>
      <c r="D1753" s="375"/>
      <c r="E1753" s="375"/>
      <c r="F1753" s="375"/>
      <c r="G1753" s="375"/>
      <c r="H1753" s="375"/>
      <c r="I1753" s="375"/>
      <c r="J1753" s="375"/>
      <c r="K1753" s="375"/>
    </row>
    <row r="1754" spans="1:11" ht="12.75">
      <c r="A1754" s="375"/>
      <c r="B1754" s="375"/>
      <c r="C1754" s="375"/>
      <c r="D1754" s="375"/>
      <c r="E1754" s="375"/>
      <c r="F1754" s="375"/>
      <c r="G1754" s="375"/>
      <c r="H1754" s="375"/>
      <c r="I1754" s="375"/>
      <c r="J1754" s="375"/>
      <c r="K1754" s="375"/>
    </row>
    <row r="1755" spans="1:11" ht="12.75">
      <c r="A1755" s="375"/>
      <c r="B1755" s="375"/>
      <c r="C1755" s="375"/>
      <c r="D1755" s="375"/>
      <c r="E1755" s="375"/>
      <c r="F1755" s="375"/>
      <c r="G1755" s="375"/>
      <c r="H1755" s="375"/>
      <c r="I1755" s="375"/>
      <c r="J1755" s="375"/>
      <c r="K1755" s="375"/>
    </row>
    <row r="1756" spans="1:11" ht="12.75">
      <c r="A1756" s="375"/>
      <c r="B1756" s="375"/>
      <c r="C1756" s="375"/>
      <c r="D1756" s="375"/>
      <c r="E1756" s="375"/>
      <c r="F1756" s="375"/>
      <c r="G1756" s="375"/>
      <c r="H1756" s="375"/>
      <c r="I1756" s="375"/>
      <c r="J1756" s="375"/>
      <c r="K1756" s="375"/>
    </row>
    <row r="1757" spans="1:11" ht="12.75">
      <c r="A1757" s="375"/>
      <c r="B1757" s="375"/>
      <c r="C1757" s="375"/>
      <c r="D1757" s="375"/>
      <c r="E1757" s="375"/>
      <c r="F1757" s="375"/>
      <c r="G1757" s="375"/>
      <c r="H1757" s="375"/>
      <c r="I1757" s="375"/>
      <c r="J1757" s="375"/>
      <c r="K1757" s="375"/>
    </row>
    <row r="1758" spans="1:11" ht="12.75">
      <c r="A1758" s="375"/>
      <c r="B1758" s="375"/>
      <c r="C1758" s="375"/>
      <c r="D1758" s="375"/>
      <c r="E1758" s="375"/>
      <c r="F1758" s="375"/>
      <c r="G1758" s="375"/>
      <c r="H1758" s="375"/>
      <c r="I1758" s="375"/>
      <c r="J1758" s="375"/>
      <c r="K1758" s="375"/>
    </row>
    <row r="1759" spans="1:11" ht="12.75">
      <c r="A1759" s="375"/>
      <c r="B1759" s="375"/>
      <c r="C1759" s="375"/>
      <c r="D1759" s="375"/>
      <c r="E1759" s="375"/>
      <c r="F1759" s="375"/>
      <c r="G1759" s="375"/>
      <c r="H1759" s="375"/>
      <c r="I1759" s="375"/>
      <c r="J1759" s="375"/>
      <c r="K1759" s="375"/>
    </row>
    <row r="1760" spans="1:11" ht="12.75">
      <c r="A1760" s="375"/>
      <c r="B1760" s="375"/>
      <c r="C1760" s="375"/>
      <c r="D1760" s="375"/>
      <c r="E1760" s="375"/>
      <c r="F1760" s="375"/>
      <c r="G1760" s="375"/>
      <c r="H1760" s="375"/>
      <c r="I1760" s="375"/>
      <c r="J1760" s="375"/>
      <c r="K1760" s="375"/>
    </row>
    <row r="1761" spans="1:11" ht="12.75">
      <c r="A1761" s="375"/>
      <c r="B1761" s="375"/>
      <c r="C1761" s="375"/>
      <c r="D1761" s="375"/>
      <c r="E1761" s="375"/>
      <c r="F1761" s="375"/>
      <c r="G1761" s="375"/>
      <c r="H1761" s="375"/>
      <c r="I1761" s="375"/>
      <c r="J1761" s="375"/>
      <c r="K1761" s="375"/>
    </row>
    <row r="1762" spans="1:11" ht="12.75">
      <c r="A1762" s="375"/>
      <c r="B1762" s="375"/>
      <c r="C1762" s="375"/>
      <c r="D1762" s="375"/>
      <c r="E1762" s="375"/>
      <c r="F1762" s="375"/>
      <c r="G1762" s="375"/>
      <c r="H1762" s="375"/>
      <c r="I1762" s="375"/>
      <c r="J1762" s="375"/>
      <c r="K1762" s="375"/>
    </row>
    <row r="1763" spans="1:11" ht="12.75">
      <c r="A1763" s="375"/>
      <c r="B1763" s="375"/>
      <c r="C1763" s="375"/>
      <c r="D1763" s="375"/>
      <c r="E1763" s="375"/>
      <c r="F1763" s="375"/>
      <c r="G1763" s="375"/>
      <c r="H1763" s="375"/>
      <c r="I1763" s="375"/>
      <c r="J1763" s="375"/>
      <c r="K1763" s="375"/>
    </row>
    <row r="1764" spans="1:11" ht="12.75">
      <c r="A1764" s="375"/>
      <c r="B1764" s="375"/>
      <c r="C1764" s="375"/>
      <c r="D1764" s="375"/>
      <c r="E1764" s="375"/>
      <c r="F1764" s="375"/>
      <c r="G1764" s="375"/>
      <c r="H1764" s="375"/>
      <c r="I1764" s="375"/>
      <c r="J1764" s="375"/>
      <c r="K1764" s="375"/>
    </row>
    <row r="1765" spans="1:11" ht="12.75">
      <c r="A1765" s="375"/>
      <c r="B1765" s="375"/>
      <c r="C1765" s="375"/>
      <c r="D1765" s="375"/>
      <c r="E1765" s="375"/>
      <c r="F1765" s="375"/>
      <c r="G1765" s="375"/>
      <c r="H1765" s="375"/>
      <c r="I1765" s="375"/>
      <c r="J1765" s="375"/>
      <c r="K1765" s="375"/>
    </row>
    <row r="1766" spans="1:11" ht="12.75">
      <c r="A1766" s="375"/>
      <c r="B1766" s="375"/>
      <c r="C1766" s="375"/>
      <c r="D1766" s="375"/>
      <c r="E1766" s="375"/>
      <c r="F1766" s="375"/>
      <c r="G1766" s="375"/>
      <c r="H1766" s="375"/>
      <c r="I1766" s="375"/>
      <c r="J1766" s="375"/>
      <c r="K1766" s="375"/>
    </row>
    <row r="1767" spans="1:11" ht="12.75">
      <c r="A1767" s="375"/>
      <c r="B1767" s="375"/>
      <c r="C1767" s="375"/>
      <c r="D1767" s="375"/>
      <c r="E1767" s="375"/>
      <c r="F1767" s="375"/>
      <c r="G1767" s="375"/>
      <c r="H1767" s="375"/>
      <c r="I1767" s="375"/>
      <c r="J1767" s="375"/>
      <c r="K1767" s="375"/>
    </row>
    <row r="1768" spans="1:11" ht="12.75">
      <c r="A1768" s="375"/>
      <c r="B1768" s="375"/>
      <c r="C1768" s="375"/>
      <c r="D1768" s="375"/>
      <c r="E1768" s="375"/>
      <c r="F1768" s="375"/>
      <c r="G1768" s="375"/>
      <c r="H1768" s="375"/>
      <c r="I1768" s="375"/>
      <c r="J1768" s="375"/>
      <c r="K1768" s="375"/>
    </row>
    <row r="1769" spans="1:11" ht="12.75">
      <c r="A1769" s="375"/>
      <c r="B1769" s="375"/>
      <c r="C1769" s="375"/>
      <c r="D1769" s="375"/>
      <c r="E1769" s="375"/>
      <c r="F1769" s="375"/>
      <c r="G1769" s="375"/>
      <c r="H1769" s="375"/>
      <c r="I1769" s="375"/>
      <c r="J1769" s="375"/>
      <c r="K1769" s="375"/>
    </row>
    <row r="1770" spans="1:11" ht="12.75">
      <c r="A1770" s="375"/>
      <c r="B1770" s="375"/>
      <c r="C1770" s="375"/>
      <c r="D1770" s="375"/>
      <c r="E1770" s="375"/>
      <c r="F1770" s="375"/>
      <c r="G1770" s="375"/>
      <c r="H1770" s="375"/>
      <c r="I1770" s="375"/>
      <c r="J1770" s="375"/>
      <c r="K1770" s="375"/>
    </row>
    <row r="1771" spans="1:11" ht="12.75">
      <c r="A1771" s="375"/>
      <c r="B1771" s="375"/>
      <c r="C1771" s="375"/>
      <c r="D1771" s="375"/>
      <c r="E1771" s="375"/>
      <c r="F1771" s="375"/>
      <c r="G1771" s="375"/>
      <c r="H1771" s="375"/>
      <c r="I1771" s="375"/>
      <c r="J1771" s="375"/>
      <c r="K1771" s="375"/>
    </row>
    <row r="1772" spans="1:11" ht="12.75">
      <c r="A1772" s="375"/>
      <c r="B1772" s="375"/>
      <c r="C1772" s="375"/>
      <c r="D1772" s="375"/>
      <c r="E1772" s="375"/>
      <c r="F1772" s="375"/>
      <c r="G1772" s="375"/>
      <c r="H1772" s="375"/>
      <c r="I1772" s="375"/>
      <c r="J1772" s="375"/>
      <c r="K1772" s="375"/>
    </row>
    <row r="1773" spans="1:11" ht="12.75">
      <c r="A1773" s="375"/>
      <c r="B1773" s="375"/>
      <c r="C1773" s="375"/>
      <c r="D1773" s="375"/>
      <c r="E1773" s="375"/>
      <c r="F1773" s="375"/>
      <c r="G1773" s="375"/>
      <c r="H1773" s="375"/>
      <c r="I1773" s="375"/>
      <c r="J1773" s="375"/>
      <c r="K1773" s="375"/>
    </row>
    <row r="1774" spans="1:11" ht="12.75">
      <c r="A1774" s="375"/>
      <c r="B1774" s="375"/>
      <c r="C1774" s="375"/>
      <c r="D1774" s="375"/>
      <c r="E1774" s="375"/>
      <c r="F1774" s="375"/>
      <c r="G1774" s="375"/>
      <c r="H1774" s="375"/>
      <c r="I1774" s="375"/>
      <c r="J1774" s="375"/>
      <c r="K1774" s="375"/>
    </row>
    <row r="1775" spans="1:11" ht="12.75">
      <c r="A1775" s="375"/>
      <c r="B1775" s="375"/>
      <c r="C1775" s="375"/>
      <c r="D1775" s="375"/>
      <c r="E1775" s="375"/>
      <c r="F1775" s="375"/>
      <c r="G1775" s="375"/>
      <c r="H1775" s="375"/>
      <c r="I1775" s="375"/>
      <c r="J1775" s="375"/>
      <c r="K1775" s="375"/>
    </row>
    <row r="1776" spans="1:11" ht="12.75">
      <c r="A1776" s="375"/>
      <c r="B1776" s="375"/>
      <c r="C1776" s="375"/>
      <c r="D1776" s="375"/>
      <c r="E1776" s="375"/>
      <c r="F1776" s="375"/>
      <c r="G1776" s="375"/>
      <c r="H1776" s="375"/>
      <c r="I1776" s="375"/>
      <c r="J1776" s="375"/>
      <c r="K1776" s="375"/>
    </row>
    <row r="1777" spans="1:11" ht="12.75">
      <c r="A1777" s="375"/>
      <c r="B1777" s="375"/>
      <c r="C1777" s="375"/>
      <c r="D1777" s="375"/>
      <c r="E1777" s="375"/>
      <c r="F1777" s="375"/>
      <c r="G1777" s="375"/>
      <c r="H1777" s="375"/>
      <c r="I1777" s="375"/>
      <c r="J1777" s="375"/>
      <c r="K1777" s="375"/>
    </row>
    <row r="1778" spans="1:11" ht="12.75">
      <c r="A1778" s="375"/>
      <c r="B1778" s="375"/>
      <c r="C1778" s="375"/>
      <c r="D1778" s="375"/>
      <c r="E1778" s="375"/>
      <c r="F1778" s="375"/>
      <c r="G1778" s="375"/>
      <c r="H1778" s="375"/>
      <c r="I1778" s="375"/>
      <c r="J1778" s="375"/>
      <c r="K1778" s="375"/>
    </row>
    <row r="1779" spans="1:11" ht="12.75">
      <c r="A1779" s="375"/>
      <c r="B1779" s="375"/>
      <c r="C1779" s="375"/>
      <c r="D1779" s="375"/>
      <c r="E1779" s="375"/>
      <c r="F1779" s="375"/>
      <c r="G1779" s="375"/>
      <c r="H1779" s="375"/>
      <c r="I1779" s="375"/>
      <c r="J1779" s="375"/>
      <c r="K1779" s="375"/>
    </row>
    <row r="1780" spans="1:11" ht="12.75">
      <c r="A1780" s="375"/>
      <c r="B1780" s="375"/>
      <c r="C1780" s="375"/>
      <c r="D1780" s="375"/>
      <c r="E1780" s="375"/>
      <c r="F1780" s="375"/>
      <c r="G1780" s="375"/>
      <c r="H1780" s="375"/>
      <c r="I1780" s="375"/>
      <c r="J1780" s="375"/>
      <c r="K1780" s="375"/>
    </row>
    <row r="1781" spans="1:11" ht="12.75">
      <c r="A1781" s="375"/>
      <c r="B1781" s="375"/>
      <c r="C1781" s="375"/>
      <c r="D1781" s="375"/>
      <c r="E1781" s="375"/>
      <c r="F1781" s="375"/>
      <c r="G1781" s="375"/>
      <c r="H1781" s="375"/>
      <c r="I1781" s="375"/>
      <c r="J1781" s="375"/>
      <c r="K1781" s="375"/>
    </row>
    <row r="1782" spans="1:11" ht="12.75">
      <c r="A1782" s="375"/>
      <c r="B1782" s="375"/>
      <c r="C1782" s="375"/>
      <c r="D1782" s="375"/>
      <c r="E1782" s="375"/>
      <c r="F1782" s="375"/>
      <c r="G1782" s="375"/>
      <c r="H1782" s="375"/>
      <c r="I1782" s="375"/>
      <c r="J1782" s="375"/>
      <c r="K1782" s="375"/>
    </row>
    <row r="1783" spans="1:11" ht="12.75">
      <c r="A1783" s="375"/>
      <c r="B1783" s="375"/>
      <c r="C1783" s="375"/>
      <c r="D1783" s="375"/>
      <c r="E1783" s="375"/>
      <c r="F1783" s="375"/>
      <c r="G1783" s="375"/>
      <c r="H1783" s="375"/>
      <c r="I1783" s="375"/>
      <c r="J1783" s="375"/>
      <c r="K1783" s="375"/>
    </row>
    <row r="1784" spans="1:11" ht="12.75">
      <c r="A1784" s="375"/>
      <c r="B1784" s="375"/>
      <c r="C1784" s="375"/>
      <c r="D1784" s="375"/>
      <c r="E1784" s="375"/>
      <c r="F1784" s="375"/>
      <c r="G1784" s="375"/>
      <c r="H1784" s="375"/>
      <c r="I1784" s="375"/>
      <c r="J1784" s="375"/>
      <c r="K1784" s="375"/>
    </row>
    <row r="1785" spans="1:11" ht="12.75">
      <c r="A1785" s="375"/>
      <c r="B1785" s="375"/>
      <c r="C1785" s="375"/>
      <c r="D1785" s="375"/>
      <c r="E1785" s="375"/>
      <c r="F1785" s="375"/>
      <c r="G1785" s="375"/>
      <c r="H1785" s="375"/>
      <c r="I1785" s="375"/>
      <c r="J1785" s="375"/>
      <c r="K1785" s="375"/>
    </row>
    <row r="1786" spans="1:11" ht="12.75">
      <c r="A1786" s="375"/>
      <c r="B1786" s="375"/>
      <c r="C1786" s="375"/>
      <c r="D1786" s="375"/>
      <c r="E1786" s="375"/>
      <c r="F1786" s="375"/>
      <c r="G1786" s="375"/>
      <c r="H1786" s="375"/>
      <c r="I1786" s="375"/>
      <c r="J1786" s="375"/>
      <c r="K1786" s="375"/>
    </row>
    <row r="1787" spans="1:11" ht="12.75">
      <c r="A1787" s="375"/>
      <c r="B1787" s="375"/>
      <c r="C1787" s="375"/>
      <c r="D1787" s="375"/>
      <c r="E1787" s="375"/>
      <c r="F1787" s="375"/>
      <c r="G1787" s="375"/>
      <c r="H1787" s="375"/>
      <c r="I1787" s="375"/>
      <c r="J1787" s="375"/>
      <c r="K1787" s="375"/>
    </row>
    <row r="1788" spans="1:11" ht="12.75">
      <c r="A1788" s="375"/>
      <c r="B1788" s="375"/>
      <c r="C1788" s="375"/>
      <c r="D1788" s="375"/>
      <c r="E1788" s="375"/>
      <c r="F1788" s="375"/>
      <c r="G1788" s="375"/>
      <c r="H1788" s="375"/>
      <c r="I1788" s="375"/>
      <c r="J1788" s="375"/>
      <c r="K1788" s="375"/>
    </row>
    <row r="1789" spans="1:11" ht="12.75">
      <c r="A1789" s="375"/>
      <c r="B1789" s="375"/>
      <c r="C1789" s="375"/>
      <c r="D1789" s="375"/>
      <c r="E1789" s="375"/>
      <c r="F1789" s="375"/>
      <c r="G1789" s="375"/>
      <c r="H1789" s="375"/>
      <c r="I1789" s="375"/>
      <c r="J1789" s="375"/>
      <c r="K1789" s="375"/>
    </row>
    <row r="1790" spans="1:11" ht="12.75">
      <c r="A1790" s="375"/>
      <c r="B1790" s="375"/>
      <c r="C1790" s="375"/>
      <c r="D1790" s="375"/>
      <c r="E1790" s="375"/>
      <c r="F1790" s="375"/>
      <c r="G1790" s="375"/>
      <c r="H1790" s="375"/>
      <c r="I1790" s="375"/>
      <c r="J1790" s="375"/>
      <c r="K1790" s="375"/>
    </row>
    <row r="1791" spans="1:11" ht="12.75">
      <c r="A1791" s="375"/>
      <c r="B1791" s="375"/>
      <c r="C1791" s="375"/>
      <c r="D1791" s="375"/>
      <c r="E1791" s="375"/>
      <c r="F1791" s="375"/>
      <c r="G1791" s="375"/>
      <c r="H1791" s="375"/>
      <c r="I1791" s="375"/>
      <c r="J1791" s="375"/>
      <c r="K1791" s="375"/>
    </row>
    <row r="1792" spans="1:11" ht="12.75">
      <c r="A1792" s="375"/>
      <c r="B1792" s="375"/>
      <c r="C1792" s="375"/>
      <c r="D1792" s="375"/>
      <c r="E1792" s="375"/>
      <c r="F1792" s="375"/>
      <c r="G1792" s="375"/>
      <c r="H1792" s="375"/>
      <c r="I1792" s="375"/>
      <c r="J1792" s="375"/>
      <c r="K1792" s="375"/>
    </row>
    <row r="1793" spans="1:11" ht="12.75">
      <c r="A1793" s="375"/>
      <c r="B1793" s="375"/>
      <c r="C1793" s="375"/>
      <c r="D1793" s="375"/>
      <c r="E1793" s="375"/>
      <c r="F1793" s="375"/>
      <c r="G1793" s="375"/>
      <c r="H1793" s="375"/>
      <c r="I1793" s="375"/>
      <c r="J1793" s="375"/>
      <c r="K1793" s="375"/>
    </row>
    <row r="1794" spans="1:11" ht="12.75">
      <c r="A1794" s="375"/>
      <c r="B1794" s="375"/>
      <c r="C1794" s="375"/>
      <c r="D1794" s="375"/>
      <c r="E1794" s="375"/>
      <c r="F1794" s="375"/>
      <c r="G1794" s="375"/>
      <c r="H1794" s="375"/>
      <c r="I1794" s="375"/>
      <c r="J1794" s="375"/>
      <c r="K1794" s="375"/>
    </row>
    <row r="1795" spans="1:11" ht="12.75">
      <c r="A1795" s="375"/>
      <c r="B1795" s="375"/>
      <c r="C1795" s="375"/>
      <c r="D1795" s="375"/>
      <c r="E1795" s="375"/>
      <c r="F1795" s="375"/>
      <c r="G1795" s="375"/>
      <c r="H1795" s="375"/>
      <c r="I1795" s="375"/>
      <c r="J1795" s="375"/>
      <c r="K1795" s="375"/>
    </row>
    <row r="1796" spans="1:11" ht="12.75">
      <c r="A1796" s="375"/>
      <c r="B1796" s="375"/>
      <c r="C1796" s="375"/>
      <c r="D1796" s="375"/>
      <c r="E1796" s="375"/>
      <c r="F1796" s="375"/>
      <c r="G1796" s="375"/>
      <c r="H1796" s="375"/>
      <c r="I1796" s="375"/>
      <c r="J1796" s="375"/>
      <c r="K1796" s="375"/>
    </row>
    <row r="1797" spans="1:11" ht="12.75">
      <c r="A1797" s="375"/>
      <c r="B1797" s="375"/>
      <c r="C1797" s="375"/>
      <c r="D1797" s="375"/>
      <c r="E1797" s="375"/>
      <c r="F1797" s="375"/>
      <c r="G1797" s="375"/>
      <c r="H1797" s="375"/>
      <c r="I1797" s="375"/>
      <c r="J1797" s="375"/>
      <c r="K1797" s="375"/>
    </row>
    <row r="1798" spans="1:11" ht="12.75">
      <c r="A1798" s="375"/>
      <c r="B1798" s="375"/>
      <c r="C1798" s="375"/>
      <c r="D1798" s="375"/>
      <c r="E1798" s="375"/>
      <c r="F1798" s="375"/>
      <c r="G1798" s="375"/>
      <c r="H1798" s="375"/>
      <c r="I1798" s="375"/>
      <c r="J1798" s="375"/>
      <c r="K1798" s="375"/>
    </row>
    <row r="1799" spans="1:11" ht="12.75">
      <c r="A1799" s="375"/>
      <c r="B1799" s="375"/>
      <c r="C1799" s="375"/>
      <c r="D1799" s="375"/>
      <c r="E1799" s="375"/>
      <c r="F1799" s="375"/>
      <c r="G1799" s="375"/>
      <c r="H1799" s="375"/>
      <c r="I1799" s="375"/>
      <c r="J1799" s="375"/>
      <c r="K1799" s="375"/>
    </row>
    <row r="1800" spans="1:11" ht="12.75">
      <c r="A1800" s="375"/>
      <c r="B1800" s="375"/>
      <c r="C1800" s="375"/>
      <c r="D1800" s="375"/>
      <c r="E1800" s="375"/>
      <c r="F1800" s="375"/>
      <c r="G1800" s="375"/>
      <c r="H1800" s="375"/>
      <c r="I1800" s="375"/>
      <c r="J1800" s="375"/>
      <c r="K1800" s="375"/>
    </row>
    <row r="1801" spans="1:11" ht="12.75">
      <c r="A1801" s="375"/>
      <c r="B1801" s="375"/>
      <c r="C1801" s="375"/>
      <c r="D1801" s="375"/>
      <c r="E1801" s="375"/>
      <c r="F1801" s="375"/>
      <c r="G1801" s="375"/>
      <c r="H1801" s="375"/>
      <c r="I1801" s="375"/>
      <c r="J1801" s="375"/>
      <c r="K1801" s="375"/>
    </row>
    <row r="1802" spans="1:11" ht="12.75">
      <c r="A1802" s="375"/>
      <c r="B1802" s="375"/>
      <c r="C1802" s="375"/>
      <c r="D1802" s="375"/>
      <c r="E1802" s="375"/>
      <c r="F1802" s="375"/>
      <c r="G1802" s="375"/>
      <c r="H1802" s="375"/>
      <c r="I1802" s="375"/>
      <c r="J1802" s="375"/>
      <c r="K1802" s="375"/>
    </row>
    <row r="1803" spans="1:11" ht="12.75">
      <c r="A1803" s="375"/>
      <c r="B1803" s="375"/>
      <c r="C1803" s="375"/>
      <c r="D1803" s="375"/>
      <c r="E1803" s="375"/>
      <c r="F1803" s="375"/>
      <c r="G1803" s="375"/>
      <c r="H1803" s="375"/>
      <c r="I1803" s="375"/>
      <c r="J1803" s="375"/>
      <c r="K1803" s="375"/>
    </row>
    <row r="1804" spans="1:11" ht="12.75">
      <c r="A1804" s="375"/>
      <c r="B1804" s="375"/>
      <c r="C1804" s="375"/>
      <c r="D1804" s="375"/>
      <c r="E1804" s="375"/>
      <c r="F1804" s="375"/>
      <c r="G1804" s="375"/>
      <c r="H1804" s="375"/>
      <c r="I1804" s="375"/>
      <c r="J1804" s="375"/>
      <c r="K1804" s="375"/>
    </row>
    <row r="1805" spans="1:11" ht="12.75">
      <c r="A1805" s="375"/>
      <c r="B1805" s="375"/>
      <c r="C1805" s="375"/>
      <c r="D1805" s="375"/>
      <c r="E1805" s="375"/>
      <c r="F1805" s="375"/>
      <c r="G1805" s="375"/>
      <c r="H1805" s="375"/>
      <c r="I1805" s="375"/>
      <c r="J1805" s="375"/>
      <c r="K1805" s="375"/>
    </row>
    <row r="1806" spans="1:11" ht="12.75">
      <c r="A1806" s="375"/>
      <c r="B1806" s="375"/>
      <c r="C1806" s="375"/>
      <c r="D1806" s="375"/>
      <c r="E1806" s="375"/>
      <c r="F1806" s="375"/>
      <c r="G1806" s="375"/>
      <c r="H1806" s="375"/>
      <c r="I1806" s="375"/>
      <c r="J1806" s="375"/>
      <c r="K1806" s="375"/>
    </row>
    <row r="1807" spans="1:11" ht="12.75">
      <c r="A1807" s="375"/>
      <c r="B1807" s="375"/>
      <c r="C1807" s="375"/>
      <c r="D1807" s="375"/>
      <c r="E1807" s="375"/>
      <c r="F1807" s="375"/>
      <c r="G1807" s="375"/>
      <c r="H1807" s="375"/>
      <c r="I1807" s="375"/>
      <c r="J1807" s="375"/>
      <c r="K1807" s="375"/>
    </row>
    <row r="1808" spans="1:11" ht="12.75">
      <c r="A1808" s="375"/>
      <c r="B1808" s="375"/>
      <c r="C1808" s="375"/>
      <c r="D1808" s="375"/>
      <c r="E1808" s="375"/>
      <c r="F1808" s="375"/>
      <c r="G1808" s="375"/>
      <c r="H1808" s="375"/>
      <c r="I1808" s="375"/>
      <c r="J1808" s="375"/>
      <c r="K1808" s="375"/>
    </row>
    <row r="1809" spans="1:11" ht="12.75">
      <c r="A1809" s="375"/>
      <c r="B1809" s="375"/>
      <c r="C1809" s="375"/>
      <c r="D1809" s="375"/>
      <c r="E1809" s="375"/>
      <c r="F1809" s="375"/>
      <c r="G1809" s="375"/>
      <c r="H1809" s="375"/>
      <c r="I1809" s="375"/>
      <c r="J1809" s="375"/>
      <c r="K1809" s="375"/>
    </row>
    <row r="1810" spans="1:11" ht="12.75">
      <c r="A1810" s="375"/>
      <c r="B1810" s="375"/>
      <c r="C1810" s="375"/>
      <c r="D1810" s="375"/>
      <c r="E1810" s="375"/>
      <c r="F1810" s="375"/>
      <c r="G1810" s="375"/>
      <c r="H1810" s="375"/>
      <c r="I1810" s="375"/>
      <c r="J1810" s="375"/>
      <c r="K1810" s="375"/>
    </row>
    <row r="1811" spans="1:11" ht="12.75">
      <c r="A1811" s="375"/>
      <c r="B1811" s="375"/>
      <c r="C1811" s="375"/>
      <c r="D1811" s="375"/>
      <c r="E1811" s="375"/>
      <c r="F1811" s="375"/>
      <c r="G1811" s="375"/>
      <c r="H1811" s="375"/>
      <c r="I1811" s="375"/>
      <c r="J1811" s="375"/>
      <c r="K1811" s="375"/>
    </row>
    <row r="1812" spans="1:11" ht="12.75">
      <c r="A1812" s="375"/>
      <c r="B1812" s="375"/>
      <c r="C1812" s="375"/>
      <c r="D1812" s="375"/>
      <c r="E1812" s="375"/>
      <c r="F1812" s="375"/>
      <c r="G1812" s="375"/>
      <c r="H1812" s="375"/>
      <c r="I1812" s="375"/>
      <c r="J1812" s="375"/>
      <c r="K1812" s="375"/>
    </row>
    <row r="1813" spans="1:11" ht="12.75">
      <c r="A1813" s="375"/>
      <c r="B1813" s="375"/>
      <c r="C1813" s="375"/>
      <c r="D1813" s="375"/>
      <c r="E1813" s="375"/>
      <c r="F1813" s="375"/>
      <c r="G1813" s="375"/>
      <c r="H1813" s="375"/>
      <c r="I1813" s="375"/>
      <c r="J1813" s="375"/>
      <c r="K1813" s="375"/>
    </row>
    <row r="1814" spans="1:11" ht="12.75">
      <c r="A1814" s="375"/>
      <c r="B1814" s="375"/>
      <c r="C1814" s="375"/>
      <c r="D1814" s="375"/>
      <c r="E1814" s="375"/>
      <c r="F1814" s="375"/>
      <c r="G1814" s="375"/>
      <c r="H1814" s="375"/>
      <c r="I1814" s="375"/>
      <c r="J1814" s="375"/>
      <c r="K1814" s="375"/>
    </row>
    <row r="1815" spans="1:11" ht="12.75">
      <c r="A1815" s="375"/>
      <c r="B1815" s="375"/>
      <c r="C1815" s="375"/>
      <c r="D1815" s="375"/>
      <c r="E1815" s="375"/>
      <c r="F1815" s="375"/>
      <c r="G1815" s="375"/>
      <c r="H1815" s="375"/>
      <c r="I1815" s="375"/>
      <c r="J1815" s="375"/>
      <c r="K1815" s="375"/>
    </row>
    <row r="1816" spans="1:11" ht="12.75">
      <c r="A1816" s="375"/>
      <c r="B1816" s="375"/>
      <c r="C1816" s="375"/>
      <c r="D1816" s="375"/>
      <c r="E1816" s="375"/>
      <c r="F1816" s="375"/>
      <c r="G1816" s="375"/>
      <c r="H1816" s="375"/>
      <c r="I1816" s="375"/>
      <c r="J1816" s="375"/>
      <c r="K1816" s="375"/>
    </row>
    <row r="1817" spans="1:11" ht="12.75">
      <c r="A1817" s="375"/>
      <c r="B1817" s="375"/>
      <c r="C1817" s="375"/>
      <c r="D1817" s="375"/>
      <c r="E1817" s="375"/>
      <c r="F1817" s="375"/>
      <c r="G1817" s="375"/>
      <c r="H1817" s="375"/>
      <c r="I1817" s="375"/>
      <c r="J1817" s="375"/>
      <c r="K1817" s="375"/>
    </row>
    <row r="1818" spans="1:11" ht="12.75">
      <c r="A1818" s="375"/>
      <c r="B1818" s="375"/>
      <c r="C1818" s="375"/>
      <c r="D1818" s="375"/>
      <c r="E1818" s="375"/>
      <c r="F1818" s="375"/>
      <c r="G1818" s="375"/>
      <c r="H1818" s="375"/>
      <c r="I1818" s="375"/>
      <c r="J1818" s="375"/>
      <c r="K1818" s="375"/>
    </row>
    <row r="1819" spans="1:11" ht="12.75">
      <c r="A1819" s="375"/>
      <c r="B1819" s="375"/>
      <c r="C1819" s="375"/>
      <c r="D1819" s="375"/>
      <c r="E1819" s="375"/>
      <c r="F1819" s="375"/>
      <c r="G1819" s="375"/>
      <c r="H1819" s="375"/>
      <c r="I1819" s="375"/>
      <c r="J1819" s="375"/>
      <c r="K1819" s="375"/>
    </row>
    <row r="1820" spans="1:11" ht="12.75">
      <c r="A1820" s="375"/>
      <c r="B1820" s="375"/>
      <c r="C1820" s="375"/>
      <c r="D1820" s="375"/>
      <c r="E1820" s="375"/>
      <c r="F1820" s="375"/>
      <c r="G1820" s="375"/>
      <c r="H1820" s="375"/>
      <c r="I1820" s="375"/>
      <c r="J1820" s="375"/>
      <c r="K1820" s="375"/>
    </row>
    <row r="1821" spans="1:11" ht="12.75">
      <c r="A1821" s="375"/>
      <c r="B1821" s="375"/>
      <c r="C1821" s="375"/>
      <c r="D1821" s="375"/>
      <c r="E1821" s="375"/>
      <c r="F1821" s="375"/>
      <c r="G1821" s="375"/>
      <c r="H1821" s="375"/>
      <c r="I1821" s="375"/>
      <c r="J1821" s="375"/>
      <c r="K1821" s="375"/>
    </row>
    <row r="1822" spans="1:11" ht="12.75">
      <c r="A1822" s="375"/>
      <c r="B1822" s="375"/>
      <c r="C1822" s="375"/>
      <c r="D1822" s="375"/>
      <c r="E1822" s="375"/>
      <c r="F1822" s="375"/>
      <c r="G1822" s="375"/>
      <c r="H1822" s="375"/>
      <c r="I1822" s="375"/>
      <c r="J1822" s="375"/>
      <c r="K1822" s="375"/>
    </row>
    <row r="1823" spans="1:11" ht="12.75">
      <c r="A1823" s="375"/>
      <c r="B1823" s="375"/>
      <c r="C1823" s="375"/>
      <c r="D1823" s="375"/>
      <c r="E1823" s="375"/>
      <c r="F1823" s="375"/>
      <c r="G1823" s="375"/>
      <c r="H1823" s="375"/>
      <c r="I1823" s="375"/>
      <c r="J1823" s="375"/>
      <c r="K1823" s="375"/>
    </row>
    <row r="1824" spans="1:11" ht="12.75">
      <c r="A1824" s="375"/>
      <c r="B1824" s="375"/>
      <c r="C1824" s="375"/>
      <c r="D1824" s="375"/>
      <c r="E1824" s="375"/>
      <c r="F1824" s="375"/>
      <c r="G1824" s="375"/>
      <c r="H1824" s="375"/>
      <c r="I1824" s="375"/>
      <c r="J1824" s="375"/>
      <c r="K1824" s="375"/>
    </row>
    <row r="1825" spans="1:11" ht="12.75">
      <c r="A1825" s="375"/>
      <c r="B1825" s="375"/>
      <c r="C1825" s="375"/>
      <c r="D1825" s="375"/>
      <c r="E1825" s="375"/>
      <c r="F1825" s="375"/>
      <c r="G1825" s="375"/>
      <c r="H1825" s="375"/>
      <c r="I1825" s="375"/>
      <c r="J1825" s="375"/>
      <c r="K1825" s="375"/>
    </row>
    <row r="1826" spans="1:11" ht="12.75">
      <c r="A1826" s="375"/>
      <c r="B1826" s="375"/>
      <c r="C1826" s="375"/>
      <c r="D1826" s="375"/>
      <c r="E1826" s="375"/>
      <c r="F1826" s="375"/>
      <c r="G1826" s="375"/>
      <c r="H1826" s="375"/>
      <c r="I1826" s="375"/>
      <c r="J1826" s="375"/>
      <c r="K1826" s="375"/>
    </row>
    <row r="1827" spans="1:11" ht="12.75">
      <c r="A1827" s="375"/>
      <c r="B1827" s="375"/>
      <c r="C1827" s="375"/>
      <c r="D1827" s="375"/>
      <c r="E1827" s="375"/>
      <c r="F1827" s="375"/>
      <c r="G1827" s="375"/>
      <c r="H1827" s="375"/>
      <c r="I1827" s="375"/>
      <c r="J1827" s="375"/>
      <c r="K1827" s="375"/>
    </row>
    <row r="1828" spans="1:11" ht="12.75">
      <c r="A1828" s="375"/>
      <c r="B1828" s="375"/>
      <c r="C1828" s="375"/>
      <c r="D1828" s="375"/>
      <c r="E1828" s="375"/>
      <c r="F1828" s="375"/>
      <c r="G1828" s="375"/>
      <c r="H1828" s="375"/>
      <c r="I1828" s="375"/>
      <c r="J1828" s="375"/>
      <c r="K1828" s="375"/>
    </row>
    <row r="1829" spans="1:11" ht="12.75">
      <c r="A1829" s="375"/>
      <c r="B1829" s="375"/>
      <c r="C1829" s="375"/>
      <c r="D1829" s="375"/>
      <c r="E1829" s="375"/>
      <c r="F1829" s="375"/>
      <c r="G1829" s="375"/>
      <c r="H1829" s="375"/>
      <c r="I1829" s="375"/>
      <c r="J1829" s="375"/>
      <c r="K1829" s="375"/>
    </row>
    <row r="1830" spans="1:11" ht="12.75">
      <c r="A1830" s="375"/>
      <c r="B1830" s="375"/>
      <c r="C1830" s="375"/>
      <c r="D1830" s="375"/>
      <c r="E1830" s="375"/>
      <c r="F1830" s="375"/>
      <c r="G1830" s="375"/>
      <c r="H1830" s="375"/>
      <c r="I1830" s="375"/>
      <c r="J1830" s="375"/>
      <c r="K1830" s="375"/>
    </row>
    <row r="1831" spans="1:11" ht="12.75">
      <c r="A1831" s="375"/>
      <c r="B1831" s="375"/>
      <c r="C1831" s="375"/>
      <c r="D1831" s="375"/>
      <c r="E1831" s="375"/>
      <c r="F1831" s="375"/>
      <c r="G1831" s="375"/>
      <c r="H1831" s="375"/>
      <c r="I1831" s="375"/>
      <c r="J1831" s="375"/>
      <c r="K1831" s="375"/>
    </row>
    <row r="1832" spans="1:11" ht="12.75">
      <c r="A1832" s="375"/>
      <c r="B1832" s="375"/>
      <c r="C1832" s="375"/>
      <c r="D1832" s="375"/>
      <c r="E1832" s="375"/>
      <c r="F1832" s="375"/>
      <c r="G1832" s="375"/>
      <c r="H1832" s="375"/>
      <c r="I1832" s="375"/>
      <c r="J1832" s="375"/>
      <c r="K1832" s="375"/>
    </row>
    <row r="1833" spans="1:11" ht="12.75">
      <c r="A1833" s="375"/>
      <c r="B1833" s="375"/>
      <c r="C1833" s="375"/>
      <c r="D1833" s="375"/>
      <c r="E1833" s="375"/>
      <c r="F1833" s="375"/>
      <c r="G1833" s="375"/>
      <c r="H1833" s="375"/>
      <c r="I1833" s="375"/>
      <c r="J1833" s="375"/>
      <c r="K1833" s="375"/>
    </row>
    <row r="1834" spans="1:11" ht="12.75">
      <c r="A1834" s="375"/>
      <c r="B1834" s="375"/>
      <c r="C1834" s="375"/>
      <c r="D1834" s="375"/>
      <c r="E1834" s="375"/>
      <c r="F1834" s="375"/>
      <c r="G1834" s="375"/>
      <c r="H1834" s="375"/>
      <c r="I1834" s="375"/>
      <c r="J1834" s="375"/>
      <c r="K1834" s="375"/>
    </row>
    <row r="1835" spans="1:11" ht="12.75">
      <c r="A1835" s="375"/>
      <c r="B1835" s="375"/>
      <c r="C1835" s="375"/>
      <c r="D1835" s="375"/>
      <c r="E1835" s="375"/>
      <c r="F1835" s="375"/>
      <c r="G1835" s="375"/>
      <c r="H1835" s="375"/>
      <c r="I1835" s="375"/>
      <c r="J1835" s="375"/>
      <c r="K1835" s="375"/>
    </row>
    <row r="1836" spans="1:11" ht="12.75">
      <c r="A1836" s="375"/>
      <c r="B1836" s="375"/>
      <c r="C1836" s="375"/>
      <c r="D1836" s="375"/>
      <c r="E1836" s="375"/>
      <c r="F1836" s="375"/>
      <c r="G1836" s="375"/>
      <c r="H1836" s="375"/>
      <c r="I1836" s="375"/>
      <c r="J1836" s="375"/>
      <c r="K1836" s="375"/>
    </row>
    <row r="1837" spans="1:11" ht="12.75">
      <c r="A1837" s="375"/>
      <c r="B1837" s="375"/>
      <c r="C1837" s="375"/>
      <c r="D1837" s="375"/>
      <c r="E1837" s="375"/>
      <c r="F1837" s="375"/>
      <c r="G1837" s="375"/>
      <c r="H1837" s="375"/>
      <c r="I1837" s="375"/>
      <c r="J1837" s="375"/>
      <c r="K1837" s="375"/>
    </row>
    <row r="1838" spans="1:11" ht="12.75">
      <c r="A1838" s="375"/>
      <c r="B1838" s="375"/>
      <c r="C1838" s="375"/>
      <c r="D1838" s="375"/>
      <c r="E1838" s="375"/>
      <c r="F1838" s="375"/>
      <c r="G1838" s="375"/>
      <c r="H1838" s="375"/>
      <c r="I1838" s="375"/>
      <c r="J1838" s="375"/>
      <c r="K1838" s="375"/>
    </row>
    <row r="1839" spans="1:11" ht="12.75">
      <c r="A1839" s="375"/>
      <c r="B1839" s="375"/>
      <c r="C1839" s="375"/>
      <c r="D1839" s="375"/>
      <c r="E1839" s="375"/>
      <c r="F1839" s="375"/>
      <c r="G1839" s="375"/>
      <c r="H1839" s="375"/>
      <c r="I1839" s="375"/>
      <c r="J1839" s="375"/>
      <c r="K1839" s="375"/>
    </row>
    <row r="1840" spans="1:11" ht="12.75">
      <c r="A1840" s="375"/>
      <c r="B1840" s="375"/>
      <c r="C1840" s="375"/>
      <c r="D1840" s="375"/>
      <c r="E1840" s="375"/>
      <c r="F1840" s="375"/>
      <c r="G1840" s="375"/>
      <c r="H1840" s="375"/>
      <c r="I1840" s="375"/>
      <c r="J1840" s="375"/>
      <c r="K1840" s="375"/>
    </row>
    <row r="1841" spans="1:11" ht="12.75">
      <c r="A1841" s="375"/>
      <c r="B1841" s="375"/>
      <c r="C1841" s="375"/>
      <c r="D1841" s="375"/>
      <c r="E1841" s="375"/>
      <c r="F1841" s="375"/>
      <c r="G1841" s="375"/>
      <c r="H1841" s="375"/>
      <c r="I1841" s="375"/>
      <c r="J1841" s="375"/>
      <c r="K1841" s="375"/>
    </row>
    <row r="1842" spans="1:11" ht="12.75">
      <c r="A1842" s="375"/>
      <c r="B1842" s="375"/>
      <c r="C1842" s="375"/>
      <c r="D1842" s="375"/>
      <c r="E1842" s="375"/>
      <c r="F1842" s="375"/>
      <c r="G1842" s="375"/>
      <c r="H1842" s="375"/>
      <c r="I1842" s="375"/>
      <c r="J1842" s="375"/>
      <c r="K1842" s="375"/>
    </row>
    <row r="1843" spans="1:11" ht="12.75">
      <c r="A1843" s="375"/>
      <c r="B1843" s="375"/>
      <c r="C1843" s="375"/>
      <c r="D1843" s="375"/>
      <c r="E1843" s="375"/>
      <c r="F1843" s="375"/>
      <c r="G1843" s="375"/>
      <c r="H1843" s="375"/>
      <c r="I1843" s="375"/>
      <c r="J1843" s="375"/>
      <c r="K1843" s="375"/>
    </row>
    <row r="1844" spans="1:11" ht="12.75">
      <c r="A1844" s="375"/>
      <c r="B1844" s="375"/>
      <c r="C1844" s="375"/>
      <c r="D1844" s="375"/>
      <c r="E1844" s="375"/>
      <c r="F1844" s="375"/>
      <c r="G1844" s="375"/>
      <c r="H1844" s="375"/>
      <c r="I1844" s="375"/>
      <c r="J1844" s="375"/>
      <c r="K1844" s="375"/>
    </row>
    <row r="1845" spans="1:11" ht="12.75">
      <c r="A1845" s="375"/>
      <c r="B1845" s="375"/>
      <c r="C1845" s="375"/>
      <c r="D1845" s="375"/>
      <c r="E1845" s="375"/>
      <c r="F1845" s="375"/>
      <c r="G1845" s="375"/>
      <c r="H1845" s="375"/>
      <c r="I1845" s="375"/>
      <c r="J1845" s="375"/>
      <c r="K1845" s="375"/>
    </row>
    <row r="1846" spans="1:11" ht="12.75">
      <c r="A1846" s="375"/>
      <c r="B1846" s="375"/>
      <c r="C1846" s="375"/>
      <c r="D1846" s="375"/>
      <c r="E1846" s="375"/>
      <c r="F1846" s="375"/>
      <c r="G1846" s="375"/>
      <c r="H1846" s="375"/>
      <c r="I1846" s="375"/>
      <c r="J1846" s="375"/>
      <c r="K1846" s="375"/>
    </row>
    <row r="1847" spans="1:11" ht="12.75">
      <c r="A1847" s="375"/>
      <c r="B1847" s="375"/>
      <c r="C1847" s="375"/>
      <c r="D1847" s="375"/>
      <c r="E1847" s="375"/>
      <c r="F1847" s="375"/>
      <c r="G1847" s="375"/>
      <c r="H1847" s="375"/>
      <c r="I1847" s="375"/>
      <c r="J1847" s="375"/>
      <c r="K1847" s="375"/>
    </row>
    <row r="1848" spans="1:11" ht="12.75">
      <c r="A1848" s="375"/>
      <c r="B1848" s="375"/>
      <c r="C1848" s="375"/>
      <c r="D1848" s="375"/>
      <c r="E1848" s="375"/>
      <c r="F1848" s="375"/>
      <c r="G1848" s="375"/>
      <c r="H1848" s="375"/>
      <c r="I1848" s="375"/>
      <c r="J1848" s="375"/>
      <c r="K1848" s="375"/>
    </row>
    <row r="1849" spans="1:11" ht="12.75">
      <c r="A1849" s="375"/>
      <c r="B1849" s="375"/>
      <c r="C1849" s="375"/>
      <c r="D1849" s="375"/>
      <c r="E1849" s="375"/>
      <c r="F1849" s="375"/>
      <c r="G1849" s="375"/>
      <c r="H1849" s="375"/>
      <c r="I1849" s="375"/>
      <c r="J1849" s="375"/>
      <c r="K1849" s="375"/>
    </row>
    <row r="1850" spans="1:11" ht="12.75">
      <c r="A1850" s="375"/>
      <c r="B1850" s="375"/>
      <c r="C1850" s="375"/>
      <c r="D1850" s="375"/>
      <c r="E1850" s="375"/>
      <c r="F1850" s="375"/>
      <c r="G1850" s="375"/>
      <c r="H1850" s="375"/>
      <c r="I1850" s="375"/>
      <c r="J1850" s="375"/>
      <c r="K1850" s="375"/>
    </row>
    <row r="1851" spans="1:11" ht="12.75">
      <c r="A1851" s="375"/>
      <c r="B1851" s="375"/>
      <c r="C1851" s="375"/>
      <c r="D1851" s="375"/>
      <c r="E1851" s="375"/>
      <c r="F1851" s="375"/>
      <c r="G1851" s="375"/>
      <c r="H1851" s="375"/>
      <c r="I1851" s="375"/>
      <c r="J1851" s="375"/>
      <c r="K1851" s="375"/>
    </row>
    <row r="1852" spans="1:11" ht="12.75">
      <c r="A1852" s="375"/>
      <c r="B1852" s="375"/>
      <c r="C1852" s="375"/>
      <c r="D1852" s="375"/>
      <c r="E1852" s="375"/>
      <c r="F1852" s="375"/>
      <c r="G1852" s="375"/>
      <c r="H1852" s="375"/>
      <c r="I1852" s="375"/>
      <c r="J1852" s="375"/>
      <c r="K1852" s="375"/>
    </row>
    <row r="1853" spans="1:11" ht="12.75">
      <c r="A1853" s="375"/>
      <c r="B1853" s="375"/>
      <c r="C1853" s="375"/>
      <c r="D1853" s="375"/>
      <c r="E1853" s="375"/>
      <c r="F1853" s="375"/>
      <c r="G1853" s="375"/>
      <c r="H1853" s="375"/>
      <c r="I1853" s="375"/>
      <c r="J1853" s="375"/>
      <c r="K1853" s="375"/>
    </row>
    <row r="1854" spans="1:11" ht="12.75">
      <c r="A1854" s="375"/>
      <c r="B1854" s="375"/>
      <c r="C1854" s="375"/>
      <c r="D1854" s="375"/>
      <c r="E1854" s="375"/>
      <c r="F1854" s="375"/>
      <c r="G1854" s="375"/>
      <c r="H1854" s="375"/>
      <c r="I1854" s="375"/>
      <c r="J1854" s="375"/>
      <c r="K1854" s="375"/>
    </row>
    <row r="1855" spans="1:11" ht="12.75">
      <c r="A1855" s="375"/>
      <c r="B1855" s="375"/>
      <c r="C1855" s="375"/>
      <c r="D1855" s="375"/>
      <c r="E1855" s="375"/>
      <c r="F1855" s="375"/>
      <c r="G1855" s="375"/>
      <c r="H1855" s="375"/>
      <c r="I1855" s="375"/>
      <c r="J1855" s="375"/>
      <c r="K1855" s="375"/>
    </row>
    <row r="1856" spans="1:11" ht="12.75">
      <c r="A1856" s="375"/>
      <c r="B1856" s="375"/>
      <c r="C1856" s="375"/>
      <c r="D1856" s="375"/>
      <c r="E1856" s="375"/>
      <c r="F1856" s="375"/>
      <c r="G1856" s="375"/>
      <c r="H1856" s="375"/>
      <c r="I1856" s="375"/>
      <c r="J1856" s="375"/>
      <c r="K1856" s="375"/>
    </row>
    <row r="1857" spans="1:11" ht="12.75">
      <c r="A1857" s="375"/>
      <c r="B1857" s="375"/>
      <c r="C1857" s="375"/>
      <c r="D1857" s="375"/>
      <c r="E1857" s="375"/>
      <c r="F1857" s="375"/>
      <c r="G1857" s="375"/>
      <c r="H1857" s="375"/>
      <c r="I1857" s="375"/>
      <c r="J1857" s="375"/>
      <c r="K1857" s="375"/>
    </row>
    <row r="1858" spans="1:11" ht="12.75">
      <c r="A1858" s="375"/>
      <c r="B1858" s="375"/>
      <c r="C1858" s="375"/>
      <c r="D1858" s="375"/>
      <c r="E1858" s="375"/>
      <c r="F1858" s="375"/>
      <c r="G1858" s="375"/>
      <c r="H1858" s="375"/>
      <c r="I1858" s="375"/>
      <c r="J1858" s="375"/>
      <c r="K1858" s="375"/>
    </row>
    <row r="1859" spans="1:11" ht="12.75">
      <c r="A1859" s="375"/>
      <c r="B1859" s="375"/>
      <c r="C1859" s="375"/>
      <c r="D1859" s="375"/>
      <c r="E1859" s="375"/>
      <c r="F1859" s="375"/>
      <c r="G1859" s="375"/>
      <c r="H1859" s="375"/>
      <c r="I1859" s="375"/>
      <c r="J1859" s="375"/>
      <c r="K1859" s="375"/>
    </row>
    <row r="1860" spans="1:11" ht="12.75">
      <c r="A1860" s="375"/>
      <c r="B1860" s="375"/>
      <c r="C1860" s="375"/>
      <c r="D1860" s="375"/>
      <c r="E1860" s="375"/>
      <c r="F1860" s="375"/>
      <c r="G1860" s="375"/>
      <c r="H1860" s="375"/>
      <c r="I1860" s="375"/>
      <c r="J1860" s="375"/>
      <c r="K1860" s="375"/>
    </row>
    <row r="1861" spans="1:11" ht="12.75">
      <c r="A1861" s="375"/>
      <c r="B1861" s="375"/>
      <c r="C1861" s="375"/>
      <c r="D1861" s="375"/>
      <c r="E1861" s="375"/>
      <c r="F1861" s="375"/>
      <c r="G1861" s="375"/>
      <c r="H1861" s="375"/>
      <c r="I1861" s="375"/>
      <c r="J1861" s="375"/>
      <c r="K1861" s="375"/>
    </row>
    <row r="1862" spans="1:11" ht="12.75">
      <c r="A1862" s="375"/>
      <c r="B1862" s="375"/>
      <c r="C1862" s="375"/>
      <c r="D1862" s="375"/>
      <c r="E1862" s="375"/>
      <c r="F1862" s="375"/>
      <c r="G1862" s="375"/>
      <c r="H1862" s="375"/>
      <c r="I1862" s="375"/>
      <c r="J1862" s="375"/>
      <c r="K1862" s="375"/>
    </row>
    <row r="1863" spans="1:11" ht="12.75">
      <c r="A1863" s="375"/>
      <c r="B1863" s="375"/>
      <c r="C1863" s="375"/>
      <c r="D1863" s="375"/>
      <c r="E1863" s="375"/>
      <c r="F1863" s="375"/>
      <c r="G1863" s="375"/>
      <c r="H1863" s="375"/>
      <c r="I1863" s="375"/>
      <c r="J1863" s="375"/>
      <c r="K1863" s="375"/>
    </row>
    <row r="1864" spans="1:11" ht="12.75">
      <c r="A1864" s="375"/>
      <c r="B1864" s="375"/>
      <c r="C1864" s="375"/>
      <c r="D1864" s="375"/>
      <c r="E1864" s="375"/>
      <c r="F1864" s="375"/>
      <c r="G1864" s="375"/>
      <c r="H1864" s="375"/>
      <c r="I1864" s="375"/>
      <c r="J1864" s="375"/>
      <c r="K1864" s="375"/>
    </row>
    <row r="1865" spans="1:11" ht="12.75">
      <c r="A1865" s="375"/>
      <c r="B1865" s="375"/>
      <c r="C1865" s="375"/>
      <c r="D1865" s="375"/>
      <c r="E1865" s="375"/>
      <c r="F1865" s="375"/>
      <c r="G1865" s="375"/>
      <c r="H1865" s="375"/>
      <c r="I1865" s="375"/>
      <c r="J1865" s="375"/>
      <c r="K1865" s="375"/>
    </row>
    <row r="1866" spans="1:11" ht="12.75">
      <c r="A1866" s="375"/>
      <c r="B1866" s="375"/>
      <c r="C1866" s="375"/>
      <c r="D1866" s="375"/>
      <c r="E1866" s="375"/>
      <c r="F1866" s="375"/>
      <c r="G1866" s="375"/>
      <c r="H1866" s="375"/>
      <c r="I1866" s="375"/>
      <c r="J1866" s="375"/>
      <c r="K1866" s="375"/>
    </row>
    <row r="1867" spans="1:11" ht="12.75">
      <c r="A1867" s="375"/>
      <c r="B1867" s="375"/>
      <c r="C1867" s="375"/>
      <c r="D1867" s="375"/>
      <c r="E1867" s="375"/>
      <c r="F1867" s="375"/>
      <c r="G1867" s="375"/>
      <c r="H1867" s="375"/>
      <c r="I1867" s="375"/>
      <c r="J1867" s="375"/>
      <c r="K1867" s="375"/>
    </row>
    <row r="1868" spans="1:11" ht="12.75">
      <c r="A1868" s="375"/>
      <c r="B1868" s="375"/>
      <c r="C1868" s="375"/>
      <c r="D1868" s="375"/>
      <c r="E1868" s="375"/>
      <c r="F1868" s="375"/>
      <c r="G1868" s="375"/>
      <c r="H1868" s="375"/>
      <c r="I1868" s="375"/>
      <c r="J1868" s="375"/>
      <c r="K1868" s="375"/>
    </row>
    <row r="1869" spans="1:11" ht="12.75">
      <c r="A1869" s="375"/>
      <c r="B1869" s="375"/>
      <c r="C1869" s="375"/>
      <c r="D1869" s="375"/>
      <c r="E1869" s="375"/>
      <c r="F1869" s="375"/>
      <c r="G1869" s="375"/>
      <c r="H1869" s="375"/>
      <c r="I1869" s="375"/>
      <c r="J1869" s="375"/>
      <c r="K1869" s="375"/>
    </row>
    <row r="1870" spans="1:11" ht="12.75">
      <c r="A1870" s="375"/>
      <c r="B1870" s="375"/>
      <c r="C1870" s="375"/>
      <c r="D1870" s="375"/>
      <c r="E1870" s="375"/>
      <c r="F1870" s="375"/>
      <c r="G1870" s="375"/>
      <c r="H1870" s="375"/>
      <c r="I1870" s="375"/>
      <c r="J1870" s="375"/>
      <c r="K1870" s="375"/>
    </row>
    <row r="1871" spans="1:11" ht="12.75">
      <c r="A1871" s="375"/>
      <c r="B1871" s="375"/>
      <c r="C1871" s="375"/>
      <c r="D1871" s="375"/>
      <c r="E1871" s="375"/>
      <c r="F1871" s="375"/>
      <c r="G1871" s="375"/>
      <c r="H1871" s="375"/>
      <c r="I1871" s="375"/>
      <c r="J1871" s="375"/>
      <c r="K1871" s="375"/>
    </row>
    <row r="1872" spans="1:11" ht="12.75">
      <c r="A1872" s="375"/>
      <c r="B1872" s="375"/>
      <c r="C1872" s="375"/>
      <c r="D1872" s="375"/>
      <c r="E1872" s="375"/>
      <c r="F1872" s="375"/>
      <c r="G1872" s="375"/>
      <c r="H1872" s="375"/>
      <c r="I1872" s="375"/>
      <c r="J1872" s="375"/>
      <c r="K1872" s="375"/>
    </row>
    <row r="1873" spans="1:11" ht="12.75">
      <c r="A1873" s="375"/>
      <c r="B1873" s="375"/>
      <c r="C1873" s="375"/>
      <c r="D1873" s="375"/>
      <c r="E1873" s="375"/>
      <c r="F1873" s="375"/>
      <c r="G1873" s="375"/>
      <c r="H1873" s="375"/>
      <c r="I1873" s="375"/>
      <c r="J1873" s="375"/>
      <c r="K1873" s="375"/>
    </row>
    <row r="1874" spans="1:11" ht="12.75">
      <c r="A1874" s="375"/>
      <c r="B1874" s="375"/>
      <c r="C1874" s="375"/>
      <c r="D1874" s="375"/>
      <c r="E1874" s="375"/>
      <c r="F1874" s="375"/>
      <c r="G1874" s="375"/>
      <c r="H1874" s="375"/>
      <c r="I1874" s="375"/>
      <c r="J1874" s="375"/>
      <c r="K1874" s="375"/>
    </row>
  </sheetData>
  <sheetProtection/>
  <mergeCells count="11">
    <mergeCell ref="A2:F2"/>
    <mergeCell ref="G2:T2"/>
    <mergeCell ref="L5:N5"/>
    <mergeCell ref="B5:E6"/>
    <mergeCell ref="F5:F6"/>
    <mergeCell ref="G5:G6"/>
    <mergeCell ref="H5:H6"/>
    <mergeCell ref="I5:I6"/>
    <mergeCell ref="J5:J6"/>
    <mergeCell ref="K5:K6"/>
    <mergeCell ref="A35:E35"/>
  </mergeCells>
  <printOptions/>
  <pageMargins left="0.5118110236220472" right="0.4724409448818898" top="0.7086614173228347" bottom="1.1023622047244095" header="0" footer="0"/>
  <pageSetup horizontalDpi="600" verticalDpi="600" orientation="landscape" scale="64" r:id="rId3"/>
  <colBreaks count="2" manualBreakCount="2">
    <brk id="7" max="37" man="1"/>
    <brk id="20" max="35" man="1"/>
  </colBreaks>
  <legacyDrawing r:id="rId2"/>
</worksheet>
</file>

<file path=xl/worksheets/sheet14.xml><?xml version="1.0" encoding="utf-8"?>
<worksheet xmlns="http://schemas.openxmlformats.org/spreadsheetml/2006/main" xmlns:r="http://schemas.openxmlformats.org/officeDocument/2006/relationships">
  <dimension ref="A3:BE121"/>
  <sheetViews>
    <sheetView view="pageBreakPreview" zoomScale="80" zoomScaleNormal="75" zoomScaleSheetLayoutView="80" zoomScalePageLayoutView="0" workbookViewId="0" topLeftCell="A1">
      <pane xSplit="1" ySplit="11" topLeftCell="C12" activePane="bottomRight" state="frozen"/>
      <selection pane="topLeft" activeCell="A1" sqref="A1"/>
      <selection pane="topRight" activeCell="B1" sqref="B1"/>
      <selection pane="bottomLeft" activeCell="A12" sqref="A12"/>
      <selection pane="bottomRight" activeCell="A14" sqref="A14"/>
    </sheetView>
  </sheetViews>
  <sheetFormatPr defaultColWidth="11.421875" defaultRowHeight="12.75"/>
  <cols>
    <col min="1" max="1" width="48.28125" style="0" customWidth="1"/>
    <col min="2" max="2" width="36.57421875" style="0" bestFit="1" customWidth="1"/>
    <col min="3" max="3" width="10.57421875" style="0" bestFit="1" customWidth="1"/>
    <col min="4" max="4" width="21.57421875" style="0" bestFit="1" customWidth="1"/>
    <col min="5" max="5" width="12.28125" style="0" customWidth="1"/>
    <col min="6" max="6" width="7.421875" style="0"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5.140625" style="0" customWidth="1"/>
    <col min="14" max="14" width="21.8515625" style="0" customWidth="1"/>
    <col min="15" max="15" width="18.421875" style="0" customWidth="1"/>
    <col min="16" max="16" width="18.57421875" style="0" customWidth="1"/>
    <col min="17" max="17" width="16.7109375" style="0" customWidth="1"/>
    <col min="18" max="18" width="13.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customWidth="1"/>
    <col min="27" max="27" width="35.28125" style="0" customWidth="1"/>
    <col min="28" max="28" width="16.140625" style="0" customWidth="1"/>
    <col min="29" max="29" width="15.7109375" style="0" customWidth="1"/>
    <col min="30" max="30" width="17.28125" style="0" customWidth="1"/>
  </cols>
  <sheetData>
    <row r="3" ht="12.75">
      <c r="F3" s="575"/>
    </row>
    <row r="4" spans="3:26" ht="18">
      <c r="C4" s="1408" t="s">
        <v>87</v>
      </c>
      <c r="D4" s="1408"/>
      <c r="E4" s="1408"/>
      <c r="F4" s="1408"/>
      <c r="G4" s="1408"/>
      <c r="H4" s="1408"/>
      <c r="I4" s="1408"/>
      <c r="J4" s="1408"/>
      <c r="K4" s="1408"/>
      <c r="L4" s="1408"/>
      <c r="M4" s="1408"/>
      <c r="N4" s="1408"/>
      <c r="O4" s="1408"/>
      <c r="P4" s="1408" t="s">
        <v>87</v>
      </c>
      <c r="Q4" s="1408"/>
      <c r="R4" s="1408"/>
      <c r="S4" s="1408"/>
      <c r="T4" s="1408"/>
      <c r="U4" s="1408"/>
      <c r="V4" s="1408"/>
      <c r="W4" s="1408"/>
      <c r="X4" s="1408"/>
      <c r="Y4" s="1408"/>
      <c r="Z4" s="1408"/>
    </row>
    <row r="5" spans="1:29" ht="18">
      <c r="A5" s="439"/>
      <c r="B5" s="439"/>
      <c r="C5" s="1408" t="s">
        <v>222</v>
      </c>
      <c r="D5" s="1408"/>
      <c r="E5" s="1408"/>
      <c r="F5" s="1408"/>
      <c r="G5" s="1408"/>
      <c r="H5" s="1408"/>
      <c r="I5" s="1408"/>
      <c r="J5" s="1408"/>
      <c r="K5" s="1408"/>
      <c r="L5" s="1408"/>
      <c r="M5" s="1408"/>
      <c r="N5" s="1408"/>
      <c r="O5" s="1408"/>
      <c r="P5" s="1408" t="s">
        <v>222</v>
      </c>
      <c r="Q5" s="1408"/>
      <c r="R5" s="1408"/>
      <c r="S5" s="1408"/>
      <c r="T5" s="1408"/>
      <c r="U5" s="1408"/>
      <c r="V5" s="1408"/>
      <c r="W5" s="1408"/>
      <c r="X5" s="1408"/>
      <c r="Y5" s="1408"/>
      <c r="Z5" s="1408"/>
      <c r="AA5" s="440"/>
      <c r="AB5" s="440"/>
      <c r="AC5" s="440"/>
    </row>
    <row r="6" spans="1:29" ht="18">
      <c r="A6" s="439"/>
      <c r="C6" s="1408" t="s">
        <v>655</v>
      </c>
      <c r="D6" s="1408"/>
      <c r="E6" s="1408"/>
      <c r="F6" s="1408"/>
      <c r="G6" s="1408"/>
      <c r="H6" s="1408"/>
      <c r="I6" s="1408"/>
      <c r="J6" s="1408"/>
      <c r="K6" s="1408"/>
      <c r="L6" s="1408"/>
      <c r="M6" s="1408"/>
      <c r="N6" s="1408"/>
      <c r="O6" s="1408"/>
      <c r="P6" s="1408" t="s">
        <v>655</v>
      </c>
      <c r="Q6" s="1408"/>
      <c r="R6" s="1408"/>
      <c r="S6" s="1408"/>
      <c r="T6" s="1408"/>
      <c r="U6" s="1408"/>
      <c r="V6" s="1408"/>
      <c r="W6" s="1408"/>
      <c r="X6" s="1408"/>
      <c r="Y6" s="1408"/>
      <c r="Z6" s="1408"/>
      <c r="AA6" s="440"/>
      <c r="AB6" s="440"/>
      <c r="AC6" s="440"/>
    </row>
    <row r="7" spans="1:29" ht="18.75" thickBot="1">
      <c r="A7" s="439"/>
      <c r="B7" s="613" t="s">
        <v>524</v>
      </c>
      <c r="C7" s="614">
        <v>0.04</v>
      </c>
      <c r="D7" s="613" t="s">
        <v>526</v>
      </c>
      <c r="E7" s="615">
        <f>515000*(1+C7)</f>
        <v>535600</v>
      </c>
      <c r="F7" s="440"/>
      <c r="G7" s="440"/>
      <c r="H7" s="440"/>
      <c r="I7" s="440"/>
      <c r="J7" s="440"/>
      <c r="K7" s="440"/>
      <c r="L7" s="440"/>
      <c r="M7" s="440"/>
      <c r="N7" s="440"/>
      <c r="O7" s="440"/>
      <c r="P7" s="440"/>
      <c r="Q7" s="440"/>
      <c r="R7" s="440"/>
      <c r="S7" s="440"/>
      <c r="T7" s="440"/>
      <c r="U7" s="440"/>
      <c r="V7" s="440"/>
      <c r="W7" s="440"/>
      <c r="X7" s="440"/>
      <c r="Y7" s="440"/>
      <c r="Z7" s="440"/>
      <c r="AA7" s="440"/>
      <c r="AB7" s="440"/>
      <c r="AC7" s="440"/>
    </row>
    <row r="8" spans="1:29" ht="16.5" customHeight="1" thickBot="1">
      <c r="A8" s="439"/>
      <c r="B8" s="613" t="s">
        <v>525</v>
      </c>
      <c r="C8" s="616">
        <v>0.0317</v>
      </c>
      <c r="D8" s="613" t="s">
        <v>552</v>
      </c>
      <c r="E8" s="615">
        <v>63600</v>
      </c>
      <c r="F8" s="439"/>
      <c r="G8" s="439"/>
      <c r="H8" s="439"/>
      <c r="I8" s="439"/>
      <c r="J8" s="439"/>
      <c r="K8" s="439"/>
      <c r="L8" s="441"/>
      <c r="M8" s="441"/>
      <c r="N8" s="441"/>
      <c r="O8" s="441"/>
      <c r="P8" s="1388" t="s">
        <v>223</v>
      </c>
      <c r="Q8" s="1389"/>
      <c r="R8" s="1401"/>
      <c r="S8" s="1406" t="s">
        <v>224</v>
      </c>
      <c r="T8" s="442"/>
      <c r="U8" s="1402" t="s">
        <v>442</v>
      </c>
      <c r="V8" s="442"/>
      <c r="W8" s="442"/>
      <c r="X8" s="1402" t="s">
        <v>225</v>
      </c>
      <c r="Y8" s="443"/>
      <c r="Z8" s="439"/>
      <c r="AA8" s="439"/>
      <c r="AB8" s="439"/>
      <c r="AC8" s="439"/>
    </row>
    <row r="9" spans="1:29" ht="39" thickBot="1">
      <c r="A9" s="516"/>
      <c r="B9" s="611" t="s">
        <v>443</v>
      </c>
      <c r="C9" s="612" t="s">
        <v>226</v>
      </c>
      <c r="D9" s="612" t="s">
        <v>404</v>
      </c>
      <c r="E9" s="612" t="s">
        <v>405</v>
      </c>
      <c r="F9" s="509" t="s">
        <v>406</v>
      </c>
      <c r="G9" s="509" t="s">
        <v>245</v>
      </c>
      <c r="H9" s="509" t="s">
        <v>227</v>
      </c>
      <c r="I9" s="509" t="s">
        <v>228</v>
      </c>
      <c r="J9" s="509" t="s">
        <v>229</v>
      </c>
      <c r="K9" s="509" t="s">
        <v>230</v>
      </c>
      <c r="L9" s="509" t="s">
        <v>440</v>
      </c>
      <c r="M9" s="509" t="s">
        <v>231</v>
      </c>
      <c r="N9" s="509" t="s">
        <v>232</v>
      </c>
      <c r="O9" s="509" t="s">
        <v>233</v>
      </c>
      <c r="P9" s="513" t="s">
        <v>381</v>
      </c>
      <c r="Q9" s="514" t="s">
        <v>459</v>
      </c>
      <c r="R9" s="515" t="s">
        <v>234</v>
      </c>
      <c r="S9" s="1407"/>
      <c r="T9" s="512" t="s">
        <v>441</v>
      </c>
      <c r="U9" s="1403"/>
      <c r="V9" s="512" t="s">
        <v>235</v>
      </c>
      <c r="W9" s="511" t="s">
        <v>236</v>
      </c>
      <c r="X9" s="1403"/>
      <c r="Y9" s="510" t="s">
        <v>670</v>
      </c>
      <c r="Z9" s="509" t="s">
        <v>247</v>
      </c>
      <c r="AA9" s="480"/>
      <c r="AB9" s="480"/>
      <c r="AC9" s="439"/>
    </row>
    <row r="10" spans="1:32" ht="12.75">
      <c r="A10" s="442"/>
      <c r="B10" s="442"/>
      <c r="C10" s="444"/>
      <c r="D10" s="444"/>
      <c r="E10" s="444"/>
      <c r="F10" s="444"/>
      <c r="G10" s="444"/>
      <c r="H10" s="444"/>
      <c r="I10" s="444"/>
      <c r="J10" s="444"/>
      <c r="K10" s="444"/>
      <c r="L10" s="444"/>
      <c r="M10" s="444"/>
      <c r="N10" s="444"/>
      <c r="O10" s="444"/>
      <c r="P10" s="445"/>
      <c r="Q10" s="446"/>
      <c r="R10" s="446"/>
      <c r="S10" s="447"/>
      <c r="T10" s="446"/>
      <c r="U10" s="447"/>
      <c r="V10" s="446"/>
      <c r="W10" s="446"/>
      <c r="X10" s="447"/>
      <c r="Y10" s="444"/>
      <c r="Z10" s="444"/>
      <c r="AA10" s="444"/>
      <c r="AB10" s="441"/>
      <c r="AC10" s="441"/>
      <c r="AD10" s="375"/>
      <c r="AE10" s="375"/>
      <c r="AF10" s="375"/>
    </row>
    <row r="11" spans="1:33" ht="13.5" customHeight="1">
      <c r="A11" s="487" t="s">
        <v>303</v>
      </c>
      <c r="B11" s="487" t="s">
        <v>443</v>
      </c>
      <c r="C11" s="444"/>
      <c r="D11" s="444"/>
      <c r="E11" s="444"/>
      <c r="F11" s="444"/>
      <c r="G11" s="444"/>
      <c r="H11" s="444"/>
      <c r="I11" s="444"/>
      <c r="J11" s="444"/>
      <c r="K11" s="444"/>
      <c r="L11" s="444"/>
      <c r="M11" s="444"/>
      <c r="N11" s="444"/>
      <c r="O11" s="444"/>
      <c r="P11" s="445"/>
      <c r="Q11" s="446"/>
      <c r="R11" s="446"/>
      <c r="S11" s="447"/>
      <c r="T11" s="446"/>
      <c r="U11" s="447"/>
      <c r="V11" s="446"/>
      <c r="W11" s="446"/>
      <c r="X11" s="447"/>
      <c r="Y11" s="490">
        <f>+Y12</f>
        <v>167652978.93011293</v>
      </c>
      <c r="Z11" s="444"/>
      <c r="AA11" s="444"/>
      <c r="AB11" s="443"/>
      <c r="AC11" s="443"/>
      <c r="AD11" s="426"/>
      <c r="AE11" s="426"/>
      <c r="AF11" s="426"/>
      <c r="AG11" s="426"/>
    </row>
    <row r="12" spans="1:33" ht="12.75">
      <c r="A12" s="604" t="s">
        <v>237</v>
      </c>
      <c r="B12" s="488"/>
      <c r="C12" s="450">
        <f>SUM(C13:C20)</f>
        <v>9</v>
      </c>
      <c r="D12" s="450"/>
      <c r="E12" s="450"/>
      <c r="F12" s="450"/>
      <c r="G12" s="450"/>
      <c r="H12" s="489">
        <f aca="true" t="shared" si="0" ref="H12:Z12">SUM(H13:H20)</f>
        <v>9317806.705</v>
      </c>
      <c r="I12" s="489">
        <f t="shared" si="0"/>
        <v>190800</v>
      </c>
      <c r="J12" s="489">
        <f t="shared" si="0"/>
        <v>9508606.705</v>
      </c>
      <c r="K12" s="489">
        <f t="shared" si="0"/>
        <v>112872038.31019334</v>
      </c>
      <c r="L12" s="489">
        <f t="shared" si="0"/>
        <v>8705206.705</v>
      </c>
      <c r="M12" s="489">
        <f t="shared" si="0"/>
        <v>1044624.8045999999</v>
      </c>
      <c r="N12" s="489">
        <f t="shared" si="0"/>
        <v>8705206.705</v>
      </c>
      <c r="O12" s="489">
        <f t="shared" si="0"/>
        <v>4352603.3525</v>
      </c>
      <c r="P12" s="489">
        <f t="shared" si="0"/>
        <v>790674.5699250001</v>
      </c>
      <c r="Q12" s="489">
        <f t="shared" si="0"/>
        <v>1021728.8045999999</v>
      </c>
      <c r="R12" s="489">
        <f t="shared" si="0"/>
        <v>47241.035000100004</v>
      </c>
      <c r="S12" s="489">
        <f t="shared" si="0"/>
        <v>22891534.204902176</v>
      </c>
      <c r="T12" s="489">
        <f t="shared" si="0"/>
        <v>340576.2682</v>
      </c>
      <c r="U12" s="489">
        <f t="shared" si="0"/>
        <v>4036339.9324077335</v>
      </c>
      <c r="V12" s="489">
        <f t="shared" si="0"/>
        <v>255432.20114999998</v>
      </c>
      <c r="W12" s="489">
        <f t="shared" si="0"/>
        <v>170288.1341</v>
      </c>
      <c r="X12" s="489">
        <f t="shared" si="0"/>
        <v>5045424.915509667</v>
      </c>
      <c r="Y12" s="489">
        <f t="shared" si="0"/>
        <v>167652978.93011293</v>
      </c>
      <c r="Z12" s="489">
        <f t="shared" si="0"/>
        <v>13971081.57750941</v>
      </c>
      <c r="AA12" s="444"/>
      <c r="AB12" s="443"/>
      <c r="AC12" s="443"/>
      <c r="AD12" s="426"/>
      <c r="AE12" s="426"/>
      <c r="AF12" s="426"/>
      <c r="AG12" s="426"/>
    </row>
    <row r="13" spans="1:33" ht="14.25">
      <c r="A13" s="554" t="s">
        <v>463</v>
      </c>
      <c r="B13" s="554" t="s">
        <v>448</v>
      </c>
      <c r="C13" s="449">
        <v>1</v>
      </c>
      <c r="D13" s="506">
        <v>40544</v>
      </c>
      <c r="E13" s="506">
        <v>40900</v>
      </c>
      <c r="F13" s="505">
        <f aca="true" t="shared" si="1" ref="F13:F20">DAYS360(D13,E13,0)+1</f>
        <v>353</v>
      </c>
      <c r="G13" s="449"/>
      <c r="H13" s="592">
        <f>2799970*(1+$C$8)</f>
        <v>2888729.049</v>
      </c>
      <c r="I13" s="451">
        <v>0</v>
      </c>
      <c r="J13" s="592">
        <f aca="true" t="shared" si="2" ref="J13:J20">+I13+H13</f>
        <v>2888729.049</v>
      </c>
      <c r="K13" s="451">
        <f aca="true" t="shared" si="3" ref="K13:K20">+J13/30*F13</f>
        <v>33990711.8099</v>
      </c>
      <c r="L13" s="451">
        <f>+J13</f>
        <v>2888729.049</v>
      </c>
      <c r="M13" s="451">
        <f>+L13*12%</f>
        <v>346647.48588</v>
      </c>
      <c r="N13" s="451">
        <f aca="true" t="shared" si="4" ref="N13:N19">+L13</f>
        <v>2888729.049</v>
      </c>
      <c r="O13" s="451">
        <f aca="true" t="shared" si="5" ref="O13:O19">+J13/30*15</f>
        <v>1444364.5245</v>
      </c>
      <c r="P13" s="451">
        <f aca="true" t="shared" si="6" ref="P13:P19">+H13*0.085</f>
        <v>245541.96916500002</v>
      </c>
      <c r="Q13" s="451">
        <f aca="true" t="shared" si="7" ref="Q13:Q19">+H13*12%</f>
        <v>346647.48588</v>
      </c>
      <c r="R13" s="451">
        <f aca="true" t="shared" si="8" ref="R13:R19">+H13*0.522%</f>
        <v>15079.16563578</v>
      </c>
      <c r="S13" s="451">
        <f aca="true" t="shared" si="9" ref="S13:S19">+((P13+Q13+R13)/30*F13)</f>
        <v>7145527.436677177</v>
      </c>
      <c r="T13" s="451">
        <f>+H13*0.04</f>
        <v>115549.16196000001</v>
      </c>
      <c r="U13" s="451">
        <f>+(T13/30)*F13</f>
        <v>1359628.472396</v>
      </c>
      <c r="V13" s="451">
        <f>+H13*0.03</f>
        <v>86661.87147</v>
      </c>
      <c r="W13" s="451">
        <f>+H13*0.02</f>
        <v>57774.580980000006</v>
      </c>
      <c r="X13" s="451">
        <f aca="true" t="shared" si="10" ref="X13:X19">+((V13+W13)/30*F13)</f>
        <v>1699535.5904950001</v>
      </c>
      <c r="Y13" s="451">
        <f aca="true" t="shared" si="11" ref="Y13:Y19">K13+L13+M13+N13+O13+S13+U13+X13</f>
        <v>51763873.417848185</v>
      </c>
      <c r="Z13" s="451">
        <f aca="true" t="shared" si="12" ref="Z13:Z20">+Y13/12</f>
        <v>4313656.118154015</v>
      </c>
      <c r="AA13" s="444"/>
      <c r="AB13" s="443"/>
      <c r="AC13" s="443"/>
      <c r="AD13" s="426"/>
      <c r="AE13" s="426"/>
      <c r="AF13" s="426"/>
      <c r="AG13" s="426"/>
    </row>
    <row r="14" spans="1:33" ht="14.25">
      <c r="A14" s="448" t="s">
        <v>455</v>
      </c>
      <c r="B14" s="448" t="s">
        <v>444</v>
      </c>
      <c r="C14" s="449">
        <v>1</v>
      </c>
      <c r="D14" s="506">
        <v>40544</v>
      </c>
      <c r="E14" s="506">
        <v>40900</v>
      </c>
      <c r="F14" s="505">
        <f t="shared" si="1"/>
        <v>353</v>
      </c>
      <c r="G14" s="449"/>
      <c r="H14" s="593">
        <f>1256612*(1+$C$8)</f>
        <v>1296446.6004</v>
      </c>
      <c r="I14" s="451">
        <v>0</v>
      </c>
      <c r="J14" s="592">
        <f t="shared" si="2"/>
        <v>1296446.6004</v>
      </c>
      <c r="K14" s="451">
        <f t="shared" si="3"/>
        <v>15254854.998040002</v>
      </c>
      <c r="L14" s="451">
        <f aca="true" t="shared" si="13" ref="L14:L19">+J14</f>
        <v>1296446.6004</v>
      </c>
      <c r="M14" s="451">
        <f aca="true" t="shared" si="14" ref="M14:M19">+L14*12%</f>
        <v>155573.59204800002</v>
      </c>
      <c r="N14" s="451">
        <f t="shared" si="4"/>
        <v>1296446.6004</v>
      </c>
      <c r="O14" s="451">
        <f t="shared" si="5"/>
        <v>648223.3002</v>
      </c>
      <c r="P14" s="451">
        <f t="shared" si="6"/>
        <v>110197.96103400002</v>
      </c>
      <c r="Q14" s="451">
        <f t="shared" si="7"/>
        <v>155573.59204800002</v>
      </c>
      <c r="R14" s="451">
        <f t="shared" si="8"/>
        <v>6767.4512540880005</v>
      </c>
      <c r="S14" s="451">
        <f t="shared" si="9"/>
        <v>3206875.6176879695</v>
      </c>
      <c r="T14" s="451">
        <f aca="true" t="shared" si="15" ref="T14:T19">+H14*0.04</f>
        <v>51857.86401600001</v>
      </c>
      <c r="U14" s="451">
        <f aca="true" t="shared" si="16" ref="U14:U19">+(T14/30)*F14</f>
        <v>610194.1999216</v>
      </c>
      <c r="V14" s="451">
        <f aca="true" t="shared" si="17" ref="V14:V19">+H14*0.03</f>
        <v>38893.398012000005</v>
      </c>
      <c r="W14" s="451">
        <f aca="true" t="shared" si="18" ref="W14:W19">+H14*0.02</f>
        <v>25928.932008000003</v>
      </c>
      <c r="X14" s="451">
        <f t="shared" si="10"/>
        <v>762742.7499020002</v>
      </c>
      <c r="Y14" s="451">
        <f t="shared" si="11"/>
        <v>23231357.658599574</v>
      </c>
      <c r="Z14" s="451">
        <f t="shared" si="12"/>
        <v>1935946.4715499645</v>
      </c>
      <c r="AA14" s="444"/>
      <c r="AB14" s="443"/>
      <c r="AC14" s="443"/>
      <c r="AD14" s="426"/>
      <c r="AE14" s="426"/>
      <c r="AF14" s="426"/>
      <c r="AG14" s="426"/>
    </row>
    <row r="15" spans="1:33" ht="14.25">
      <c r="A15" s="582" t="s">
        <v>238</v>
      </c>
      <c r="B15" s="448" t="s">
        <v>444</v>
      </c>
      <c r="C15" s="449">
        <v>1</v>
      </c>
      <c r="D15" s="506">
        <v>40554</v>
      </c>
      <c r="E15" s="506">
        <v>40908</v>
      </c>
      <c r="F15" s="505">
        <f t="shared" si="1"/>
        <v>351</v>
      </c>
      <c r="G15" s="449"/>
      <c r="H15" s="593">
        <f>1256612*(1+$C$8)</f>
        <v>1296446.6004</v>
      </c>
      <c r="I15" s="451">
        <v>0</v>
      </c>
      <c r="J15" s="592">
        <f t="shared" si="2"/>
        <v>1296446.6004</v>
      </c>
      <c r="K15" s="451">
        <f>+J15/30*F15</f>
        <v>15168425.22468</v>
      </c>
      <c r="L15" s="451">
        <f>+J15</f>
        <v>1296446.6004</v>
      </c>
      <c r="M15" s="451">
        <f t="shared" si="14"/>
        <v>155573.59204800002</v>
      </c>
      <c r="N15" s="451">
        <f>+L15</f>
        <v>1296446.6004</v>
      </c>
      <c r="O15" s="451">
        <f t="shared" si="5"/>
        <v>648223.3002</v>
      </c>
      <c r="P15" s="451">
        <f>+H15*0.085</f>
        <v>110197.96103400002</v>
      </c>
      <c r="Q15" s="451">
        <f t="shared" si="7"/>
        <v>155573.59204800002</v>
      </c>
      <c r="R15" s="451">
        <f t="shared" si="8"/>
        <v>6767.4512540880005</v>
      </c>
      <c r="S15" s="451">
        <f>+((P15+Q15+R15)/30*F15)</f>
        <v>3188706.35073223</v>
      </c>
      <c r="T15" s="451">
        <f t="shared" si="15"/>
        <v>51857.86401600001</v>
      </c>
      <c r="U15" s="451">
        <f>+(T15/30)*F15</f>
        <v>606737.0089872001</v>
      </c>
      <c r="V15" s="451">
        <f t="shared" si="17"/>
        <v>38893.398012000005</v>
      </c>
      <c r="W15" s="451">
        <f t="shared" si="18"/>
        <v>25928.932008000003</v>
      </c>
      <c r="X15" s="451">
        <f>+((V15+W15)/30*F15)</f>
        <v>758421.2612340002</v>
      </c>
      <c r="Y15" s="451">
        <f t="shared" si="11"/>
        <v>23118979.93868143</v>
      </c>
      <c r="Z15" s="451">
        <f t="shared" si="12"/>
        <v>1926581.661556786</v>
      </c>
      <c r="AA15" s="903"/>
      <c r="AB15" s="443"/>
      <c r="AC15" s="443"/>
      <c r="AD15" s="426"/>
      <c r="AE15" s="426"/>
      <c r="AF15" s="426"/>
      <c r="AG15" s="426"/>
    </row>
    <row r="16" spans="1:33" ht="14.25">
      <c r="A16" s="554" t="s">
        <v>527</v>
      </c>
      <c r="B16" s="554" t="s">
        <v>454</v>
      </c>
      <c r="C16" s="449">
        <v>1</v>
      </c>
      <c r="D16" s="506">
        <v>40544</v>
      </c>
      <c r="E16" s="506">
        <v>40908</v>
      </c>
      <c r="F16" s="505">
        <f t="shared" si="1"/>
        <v>361</v>
      </c>
      <c r="G16" s="449"/>
      <c r="H16" s="593">
        <f>1089145*(1+$C$8)</f>
        <v>1123670.8965</v>
      </c>
      <c r="I16" s="451">
        <v>0</v>
      </c>
      <c r="J16" s="592">
        <f t="shared" si="2"/>
        <v>1123670.8965</v>
      </c>
      <c r="K16" s="451">
        <f>+J16/30*F16</f>
        <v>13521506.45455</v>
      </c>
      <c r="L16" s="451">
        <f>+J16</f>
        <v>1123670.8965</v>
      </c>
      <c r="M16" s="451">
        <f t="shared" si="14"/>
        <v>134840.50758</v>
      </c>
      <c r="N16" s="451">
        <f>+L16</f>
        <v>1123670.8965</v>
      </c>
      <c r="O16" s="451">
        <f t="shared" si="5"/>
        <v>561835.44825</v>
      </c>
      <c r="P16" s="451">
        <f>+H16*0.085</f>
        <v>95512.02620250001</v>
      </c>
      <c r="Q16" s="451">
        <f t="shared" si="7"/>
        <v>134840.50758</v>
      </c>
      <c r="R16" s="451">
        <f>+H16*0.522%</f>
        <v>5865.56207973</v>
      </c>
      <c r="S16" s="451">
        <f>+((P16+Q16+R16)/30*F16)</f>
        <v>2842491.0868755016</v>
      </c>
      <c r="T16" s="451">
        <f t="shared" si="15"/>
        <v>44946.83586</v>
      </c>
      <c r="U16" s="451">
        <f>+(T16/30)*F16</f>
        <v>540860.258182</v>
      </c>
      <c r="V16" s="451">
        <f t="shared" si="17"/>
        <v>33710.126895</v>
      </c>
      <c r="W16" s="451">
        <f t="shared" si="18"/>
        <v>22473.41793</v>
      </c>
      <c r="X16" s="451">
        <f>+((V16+W16)/30*F16)</f>
        <v>676075.3227275</v>
      </c>
      <c r="Y16" s="451">
        <f t="shared" si="11"/>
        <v>20524950.871165004</v>
      </c>
      <c r="Z16" s="451">
        <f t="shared" si="12"/>
        <v>1710412.5725970836</v>
      </c>
      <c r="AA16" s="903"/>
      <c r="AB16" s="443"/>
      <c r="AC16" s="443"/>
      <c r="AD16" s="426"/>
      <c r="AE16" s="426"/>
      <c r="AF16" s="426"/>
      <c r="AG16" s="426"/>
    </row>
    <row r="17" spans="1:33" ht="14.25">
      <c r="A17" s="448" t="s">
        <v>144</v>
      </c>
      <c r="B17" s="448" t="s">
        <v>445</v>
      </c>
      <c r="C17" s="449">
        <v>1</v>
      </c>
      <c r="D17" s="506">
        <v>40544</v>
      </c>
      <c r="E17" s="506">
        <v>40908</v>
      </c>
      <c r="F17" s="505">
        <f t="shared" si="1"/>
        <v>361</v>
      </c>
      <c r="G17" s="449"/>
      <c r="H17" s="592">
        <f>707222*(1+$C$8)</f>
        <v>729640.9374</v>
      </c>
      <c r="I17" s="451">
        <f>+E8</f>
        <v>63600</v>
      </c>
      <c r="J17" s="592">
        <f t="shared" si="2"/>
        <v>793240.9374</v>
      </c>
      <c r="K17" s="451">
        <f t="shared" si="3"/>
        <v>9545332.61338</v>
      </c>
      <c r="L17" s="451">
        <f t="shared" si="13"/>
        <v>793240.9374</v>
      </c>
      <c r="M17" s="451">
        <f t="shared" si="14"/>
        <v>95188.912488</v>
      </c>
      <c r="N17" s="451">
        <f t="shared" si="4"/>
        <v>793240.9374</v>
      </c>
      <c r="O17" s="451">
        <f t="shared" si="5"/>
        <v>396620.4687</v>
      </c>
      <c r="P17" s="451">
        <f t="shared" si="6"/>
        <v>62019.47967900001</v>
      </c>
      <c r="Q17" s="451">
        <f t="shared" si="7"/>
        <v>87556.912488</v>
      </c>
      <c r="R17" s="451">
        <f t="shared" si="8"/>
        <v>3808.725693228</v>
      </c>
      <c r="S17" s="451">
        <f t="shared" si="9"/>
        <v>1845734.2515847438</v>
      </c>
      <c r="T17" s="451">
        <f t="shared" si="15"/>
        <v>29185.637496000003</v>
      </c>
      <c r="U17" s="451">
        <f t="shared" si="16"/>
        <v>351200.5045352</v>
      </c>
      <c r="V17" s="451">
        <f t="shared" si="17"/>
        <v>21889.228122</v>
      </c>
      <c r="W17" s="451">
        <f t="shared" si="18"/>
        <v>14592.818748000002</v>
      </c>
      <c r="X17" s="451">
        <f t="shared" si="10"/>
        <v>439000.6306690001</v>
      </c>
      <c r="Y17" s="451">
        <f t="shared" si="11"/>
        <v>14259559.256156944</v>
      </c>
      <c r="Z17" s="451">
        <f t="shared" si="12"/>
        <v>1188296.6046797454</v>
      </c>
      <c r="AA17" s="903"/>
      <c r="AB17" s="443"/>
      <c r="AC17" s="443"/>
      <c r="AD17" s="426"/>
      <c r="AE17" s="426"/>
      <c r="AF17" s="426"/>
      <c r="AG17" s="426"/>
    </row>
    <row r="18" spans="1:33" ht="14.25">
      <c r="A18" s="554" t="s">
        <v>542</v>
      </c>
      <c r="B18" s="554" t="s">
        <v>543</v>
      </c>
      <c r="C18" s="449">
        <v>1</v>
      </c>
      <c r="D18" s="506">
        <v>40544</v>
      </c>
      <c r="E18" s="506">
        <v>40908</v>
      </c>
      <c r="F18" s="505">
        <f t="shared" si="1"/>
        <v>361</v>
      </c>
      <c r="G18" s="449"/>
      <c r="H18" s="593">
        <f>624089*(1+C8)</f>
        <v>643872.6213</v>
      </c>
      <c r="I18" s="451">
        <f>+E8</f>
        <v>63600</v>
      </c>
      <c r="J18" s="592">
        <f>+I18+H18</f>
        <v>707472.6213</v>
      </c>
      <c r="K18" s="451">
        <f>+J18/30*F18</f>
        <v>8513253.87631</v>
      </c>
      <c r="L18" s="451">
        <f>+J18</f>
        <v>707472.6213</v>
      </c>
      <c r="M18" s="451">
        <f>+L18*12%</f>
        <v>84896.71455599999</v>
      </c>
      <c r="N18" s="451">
        <f>+L18</f>
        <v>707472.6213</v>
      </c>
      <c r="O18" s="451">
        <f t="shared" si="5"/>
        <v>353736.31065</v>
      </c>
      <c r="P18" s="451">
        <f>+H18*0.085</f>
        <v>54729.17281050001</v>
      </c>
      <c r="Q18" s="451">
        <f>+H18*12%</f>
        <v>77264.71455599999</v>
      </c>
      <c r="R18" s="451">
        <f>+H18*0.522%</f>
        <v>3361.015083186</v>
      </c>
      <c r="S18" s="451">
        <f>+((P18+Q18+R18)/30*F18)</f>
        <v>1628770.6594778881</v>
      </c>
      <c r="T18" s="451">
        <f>+H18*0.04</f>
        <v>25754.904852</v>
      </c>
      <c r="U18" s="451">
        <f>+(T18/30)*F18</f>
        <v>309917.35505240003</v>
      </c>
      <c r="V18" s="451">
        <f>+H18*0.03</f>
        <v>19316.178638999998</v>
      </c>
      <c r="W18" s="451">
        <f>+H18*0.02</f>
        <v>12877.452426</v>
      </c>
      <c r="X18" s="451">
        <f>+((V18+W18)/30*F18)</f>
        <v>387396.69381549995</v>
      </c>
      <c r="Y18" s="451">
        <f>K18+L18+M18+N18+O18+S18+U18+X18</f>
        <v>12692916.852461789</v>
      </c>
      <c r="Z18" s="451">
        <f>+Y18/12</f>
        <v>1057743.0710384825</v>
      </c>
      <c r="AA18" s="903"/>
      <c r="AB18" s="443"/>
      <c r="AC18" s="443"/>
      <c r="AD18" s="426"/>
      <c r="AE18" s="426"/>
      <c r="AF18" s="426"/>
      <c r="AG18" s="426"/>
    </row>
    <row r="19" spans="1:33" ht="14.25">
      <c r="A19" s="448" t="s">
        <v>128</v>
      </c>
      <c r="B19" s="448" t="s">
        <v>446</v>
      </c>
      <c r="C19" s="449">
        <v>1</v>
      </c>
      <c r="D19" s="506">
        <v>40544</v>
      </c>
      <c r="E19" s="506">
        <v>40908</v>
      </c>
      <c r="F19" s="505">
        <f t="shared" si="1"/>
        <v>361</v>
      </c>
      <c r="G19" s="449"/>
      <c r="H19" s="592">
        <f>+E7</f>
        <v>535600</v>
      </c>
      <c r="I19" s="451">
        <f>+E8</f>
        <v>63600</v>
      </c>
      <c r="J19" s="592">
        <f t="shared" si="2"/>
        <v>599200</v>
      </c>
      <c r="K19" s="451">
        <f t="shared" si="3"/>
        <v>7210373.333333333</v>
      </c>
      <c r="L19" s="451">
        <f t="shared" si="13"/>
        <v>599200</v>
      </c>
      <c r="M19" s="451">
        <f t="shared" si="14"/>
        <v>71904</v>
      </c>
      <c r="N19" s="451">
        <f t="shared" si="4"/>
        <v>599200</v>
      </c>
      <c r="O19" s="451">
        <f t="shared" si="5"/>
        <v>299600</v>
      </c>
      <c r="P19" s="451">
        <f t="shared" si="6"/>
        <v>45526</v>
      </c>
      <c r="Q19" s="451">
        <f t="shared" si="7"/>
        <v>64272</v>
      </c>
      <c r="R19" s="451">
        <f t="shared" si="8"/>
        <v>2795.832</v>
      </c>
      <c r="S19" s="451">
        <f t="shared" si="9"/>
        <v>1354879.1117333332</v>
      </c>
      <c r="T19" s="451">
        <f t="shared" si="15"/>
        <v>21424</v>
      </c>
      <c r="U19" s="451">
        <f t="shared" si="16"/>
        <v>257802.13333333333</v>
      </c>
      <c r="V19" s="451">
        <f t="shared" si="17"/>
        <v>16068</v>
      </c>
      <c r="W19" s="451">
        <f t="shared" si="18"/>
        <v>10712</v>
      </c>
      <c r="X19" s="451">
        <f t="shared" si="10"/>
        <v>322252.6666666666</v>
      </c>
      <c r="Y19" s="451">
        <f t="shared" si="11"/>
        <v>10715211.245066663</v>
      </c>
      <c r="Z19" s="451">
        <f t="shared" si="12"/>
        <v>892934.270422222</v>
      </c>
      <c r="AA19" s="903"/>
      <c r="AB19" s="443"/>
      <c r="AC19" s="443"/>
      <c r="AD19" s="426"/>
      <c r="AE19" s="426"/>
      <c r="AF19" s="426"/>
      <c r="AG19" s="426"/>
    </row>
    <row r="20" spans="1:33" ht="14.25">
      <c r="A20" s="448" t="s">
        <v>23</v>
      </c>
      <c r="B20" s="448" t="s">
        <v>447</v>
      </c>
      <c r="C20" s="449">
        <v>2</v>
      </c>
      <c r="D20" s="506">
        <v>40544</v>
      </c>
      <c r="E20" s="506">
        <v>40908</v>
      </c>
      <c r="F20" s="505">
        <f t="shared" si="1"/>
        <v>361</v>
      </c>
      <c r="G20" s="451"/>
      <c r="H20" s="592">
        <f>+E7*75%*C20</f>
        <v>803400</v>
      </c>
      <c r="I20" s="451">
        <v>0</v>
      </c>
      <c r="J20" s="592">
        <f t="shared" si="2"/>
        <v>803400</v>
      </c>
      <c r="K20" s="451">
        <f t="shared" si="3"/>
        <v>9667580</v>
      </c>
      <c r="L20" s="451">
        <v>0</v>
      </c>
      <c r="M20" s="451">
        <v>0</v>
      </c>
      <c r="N20" s="451">
        <v>0</v>
      </c>
      <c r="O20" s="451">
        <v>0</v>
      </c>
      <c r="P20" s="451">
        <f>+H19*0.125</f>
        <v>66950</v>
      </c>
      <c r="Q20" s="451"/>
      <c r="R20" s="451">
        <f>+H19*0.522%</f>
        <v>2795.832</v>
      </c>
      <c r="S20" s="451">
        <f>+((P20+Q20+R20)/30*F20)*C20</f>
        <v>1678549.6901333332</v>
      </c>
      <c r="T20" s="451">
        <v>0</v>
      </c>
      <c r="U20" s="451">
        <v>0</v>
      </c>
      <c r="V20" s="451">
        <v>0</v>
      </c>
      <c r="W20" s="451">
        <v>0</v>
      </c>
      <c r="X20" s="451">
        <v>0</v>
      </c>
      <c r="Y20" s="451">
        <f>+S20+K20</f>
        <v>11346129.690133333</v>
      </c>
      <c r="Z20" s="451">
        <f t="shared" si="12"/>
        <v>945510.8075111111</v>
      </c>
      <c r="AA20" s="903"/>
      <c r="AB20" s="443"/>
      <c r="AC20" s="443"/>
      <c r="AD20" s="426"/>
      <c r="AE20" s="426"/>
      <c r="AF20" s="426"/>
      <c r="AG20" s="426"/>
    </row>
    <row r="21" spans="1:33" ht="12.75">
      <c r="A21" s="459"/>
      <c r="B21" s="459"/>
      <c r="C21" s="460"/>
      <c r="D21" s="460"/>
      <c r="E21" s="460"/>
      <c r="F21" s="460"/>
      <c r="G21" s="461"/>
      <c r="H21" s="1280"/>
      <c r="I21" s="461"/>
      <c r="J21" s="461"/>
      <c r="K21" s="461"/>
      <c r="L21" s="461"/>
      <c r="M21" s="461"/>
      <c r="N21" s="461"/>
      <c r="O21" s="461"/>
      <c r="P21" s="461"/>
      <c r="Q21" s="461"/>
      <c r="R21" s="461"/>
      <c r="S21" s="461"/>
      <c r="T21" s="461"/>
      <c r="U21" s="461"/>
      <c r="V21" s="461"/>
      <c r="W21" s="461"/>
      <c r="X21" s="461"/>
      <c r="Y21" s="461"/>
      <c r="Z21" s="461"/>
      <c r="AA21" s="903"/>
      <c r="AB21" s="443"/>
      <c r="AC21" s="443"/>
      <c r="AD21" s="426"/>
      <c r="AE21" s="426"/>
      <c r="AF21" s="426"/>
      <c r="AG21" s="426"/>
    </row>
    <row r="22" spans="1:33" ht="12.75">
      <c r="A22" s="459"/>
      <c r="B22" s="459"/>
      <c r="C22" s="460"/>
      <c r="D22" s="460"/>
      <c r="E22" s="460"/>
      <c r="F22" s="460"/>
      <c r="G22" s="461"/>
      <c r="H22" s="461"/>
      <c r="I22" s="461"/>
      <c r="J22" s="461"/>
      <c r="K22" s="461"/>
      <c r="L22" s="461"/>
      <c r="M22" s="461"/>
      <c r="N22" s="461"/>
      <c r="O22" s="461"/>
      <c r="P22" s="461"/>
      <c r="Q22" s="461"/>
      <c r="R22" s="461"/>
      <c r="S22" s="461"/>
      <c r="T22" s="461"/>
      <c r="U22" s="461"/>
      <c r="V22" s="461"/>
      <c r="W22" s="461"/>
      <c r="X22" s="461"/>
      <c r="Y22" s="461"/>
      <c r="Z22" s="461"/>
      <c r="AA22" s="903"/>
      <c r="AB22" s="443"/>
      <c r="AC22" s="443"/>
      <c r="AD22" s="426"/>
      <c r="AE22" s="426"/>
      <c r="AF22" s="426"/>
      <c r="AG22" s="426"/>
    </row>
    <row r="23" spans="1:33" ht="15.75">
      <c r="A23" s="487" t="s">
        <v>26</v>
      </c>
      <c r="B23" s="487" t="s">
        <v>443</v>
      </c>
      <c r="C23" s="444"/>
      <c r="D23" s="444"/>
      <c r="E23" s="444"/>
      <c r="F23" s="444"/>
      <c r="G23" s="444"/>
      <c r="H23" s="444"/>
      <c r="I23" s="444"/>
      <c r="J23" s="444"/>
      <c r="K23" s="444"/>
      <c r="L23" s="444"/>
      <c r="M23" s="444"/>
      <c r="N23" s="444"/>
      <c r="O23" s="444"/>
      <c r="P23" s="445"/>
      <c r="Q23" s="446"/>
      <c r="R23" s="446"/>
      <c r="S23" s="447"/>
      <c r="T23" s="446"/>
      <c r="U23" s="447"/>
      <c r="V23" s="446"/>
      <c r="W23" s="446"/>
      <c r="X23" s="447"/>
      <c r="Y23" s="490">
        <f>+Y24+Y35+Y40</f>
        <v>880208624.3019843</v>
      </c>
      <c r="Z23" s="444"/>
      <c r="AA23" s="904"/>
      <c r="AB23" s="443"/>
      <c r="AC23" s="453"/>
      <c r="AD23" s="426"/>
      <c r="AE23" s="426"/>
      <c r="AF23" s="426"/>
      <c r="AG23" s="426"/>
    </row>
    <row r="24" spans="1:33" ht="14.25">
      <c r="A24" s="598" t="s">
        <v>551</v>
      </c>
      <c r="B24" s="598"/>
      <c r="C24" s="601">
        <f>SUM(C26:C38)</f>
        <v>24</v>
      </c>
      <c r="D24" s="599">
        <v>40179</v>
      </c>
      <c r="E24" s="599">
        <v>40543</v>
      </c>
      <c r="F24" s="600">
        <f aca="true" t="shared" si="19" ref="F24:F29">DAYS360(D24,E24,0)+1</f>
        <v>361</v>
      </c>
      <c r="G24" s="602">
        <f>SUM(G26:G35)</f>
        <v>6962800</v>
      </c>
      <c r="H24" s="603">
        <f aca="true" t="shared" si="20" ref="H24:Z24">+H25+H35+H40</f>
        <v>48391485.90189998</v>
      </c>
      <c r="I24" s="603">
        <f t="shared" si="20"/>
        <v>127200</v>
      </c>
      <c r="J24" s="603">
        <f t="shared" si="20"/>
        <v>50607525.90189998</v>
      </c>
      <c r="K24" s="603">
        <f t="shared" si="20"/>
        <v>591477599.6944635</v>
      </c>
      <c r="L24" s="603">
        <f t="shared" si="20"/>
        <v>43644725.90189999</v>
      </c>
      <c r="M24" s="603">
        <f t="shared" si="20"/>
        <v>5237367.108228002</v>
      </c>
      <c r="N24" s="603">
        <f t="shared" si="20"/>
        <v>43644725.90189999</v>
      </c>
      <c r="O24" s="603">
        <f t="shared" si="20"/>
        <v>25303762.95094999</v>
      </c>
      <c r="P24" s="603">
        <f t="shared" si="20"/>
        <v>4113276.3016615002</v>
      </c>
      <c r="Q24" s="603">
        <f t="shared" si="20"/>
        <v>5806978.308228003</v>
      </c>
      <c r="R24" s="603">
        <f t="shared" si="20"/>
        <v>357016.25387312996</v>
      </c>
      <c r="S24" s="603">
        <f t="shared" si="20"/>
        <v>120044534.09204145</v>
      </c>
      <c r="T24" s="603">
        <f t="shared" si="20"/>
        <v>1935659.4360759999</v>
      </c>
      <c r="U24" s="603">
        <f t="shared" si="20"/>
        <v>22602626.067778535</v>
      </c>
      <c r="V24" s="603">
        <f t="shared" si="20"/>
        <v>1451744.5770570007</v>
      </c>
      <c r="W24" s="603">
        <f t="shared" si="20"/>
        <v>967829.7180379999</v>
      </c>
      <c r="X24" s="603">
        <f t="shared" si="20"/>
        <v>28253282.584723167</v>
      </c>
      <c r="Y24" s="603">
        <f t="shared" si="20"/>
        <v>880208624.3019843</v>
      </c>
      <c r="Z24" s="603">
        <f t="shared" si="20"/>
        <v>73350718.69183205</v>
      </c>
      <c r="AA24" s="903"/>
      <c r="AB24" s="443"/>
      <c r="AC24" s="443"/>
      <c r="AD24" s="426"/>
      <c r="AE24" s="426"/>
      <c r="AF24" s="426"/>
      <c r="AG24" s="426"/>
    </row>
    <row r="25" spans="1:33" ht="14.25">
      <c r="A25" s="598" t="s">
        <v>9</v>
      </c>
      <c r="B25" s="491"/>
      <c r="C25" s="495"/>
      <c r="D25" s="506"/>
      <c r="E25" s="506"/>
      <c r="F25" s="505"/>
      <c r="G25" s="496">
        <f>SUM(G26:G33)</f>
        <v>6962800</v>
      </c>
      <c r="H25" s="497">
        <f>SUM(H26:H43)</f>
        <v>48391485.90189998</v>
      </c>
      <c r="I25" s="912">
        <f aca="true" t="shared" si="21" ref="I25:Z25">SUM(I26:I43)</f>
        <v>127200</v>
      </c>
      <c r="J25" s="912">
        <f t="shared" si="21"/>
        <v>50607525.90189998</v>
      </c>
      <c r="K25" s="497">
        <f t="shared" si="21"/>
        <v>591477599.6944635</v>
      </c>
      <c r="L25" s="497">
        <f t="shared" si="21"/>
        <v>43644725.90189999</v>
      </c>
      <c r="M25" s="497">
        <f t="shared" si="21"/>
        <v>5237367.108228002</v>
      </c>
      <c r="N25" s="497">
        <f t="shared" si="21"/>
        <v>43644725.90189999</v>
      </c>
      <c r="O25" s="497">
        <f t="shared" si="21"/>
        <v>25303762.95094999</v>
      </c>
      <c r="P25" s="497">
        <f t="shared" si="21"/>
        <v>4113276.3016615002</v>
      </c>
      <c r="Q25" s="497">
        <f t="shared" si="21"/>
        <v>5806978.308228003</v>
      </c>
      <c r="R25" s="497">
        <f t="shared" si="21"/>
        <v>357016.25387312996</v>
      </c>
      <c r="S25" s="497">
        <f t="shared" si="21"/>
        <v>120044534.09204145</v>
      </c>
      <c r="T25" s="497">
        <f t="shared" si="21"/>
        <v>1935659.4360759999</v>
      </c>
      <c r="U25" s="497">
        <f t="shared" si="21"/>
        <v>22602626.067778535</v>
      </c>
      <c r="V25" s="497">
        <f t="shared" si="21"/>
        <v>1451744.5770570007</v>
      </c>
      <c r="W25" s="497">
        <f t="shared" si="21"/>
        <v>967829.7180379999</v>
      </c>
      <c r="X25" s="497">
        <f t="shared" si="21"/>
        <v>28253282.584723167</v>
      </c>
      <c r="Y25" s="497">
        <f>SUM(Y26:Y43)</f>
        <v>880208624.3019843</v>
      </c>
      <c r="Z25" s="497">
        <f t="shared" si="21"/>
        <v>73350718.69183205</v>
      </c>
      <c r="AA25" s="903"/>
      <c r="AB25" s="443"/>
      <c r="AC25" s="443"/>
      <c r="AD25" s="426"/>
      <c r="AE25" s="426"/>
      <c r="AF25" s="426"/>
      <c r="AG25" s="426"/>
    </row>
    <row r="26" spans="1:33" ht="14.25">
      <c r="A26" s="582" t="s">
        <v>250</v>
      </c>
      <c r="B26" s="448" t="s">
        <v>451</v>
      </c>
      <c r="C26" s="449">
        <v>1</v>
      </c>
      <c r="D26" s="506">
        <v>40544</v>
      </c>
      <c r="E26" s="506">
        <v>40908</v>
      </c>
      <c r="F26" s="505">
        <f t="shared" si="19"/>
        <v>361</v>
      </c>
      <c r="G26" s="451">
        <f>+$E$7*13</f>
        <v>6962800</v>
      </c>
      <c r="H26" s="592">
        <f>+G26*70%</f>
        <v>4873960</v>
      </c>
      <c r="I26" s="592">
        <v>0</v>
      </c>
      <c r="J26" s="592">
        <f>G26</f>
        <v>6962800</v>
      </c>
      <c r="K26" s="451">
        <f aca="true" t="shared" si="22" ref="K26:K33">+J26/30*F26</f>
        <v>83785693.33333334</v>
      </c>
      <c r="L26" s="451">
        <v>0</v>
      </c>
      <c r="M26" s="451">
        <f aca="true" t="shared" si="23" ref="M26:M33">+L26*12%</f>
        <v>0</v>
      </c>
      <c r="N26" s="451">
        <v>0</v>
      </c>
      <c r="O26" s="451">
        <f aca="true" t="shared" si="24" ref="O26:O33">+J26/30*15</f>
        <v>3481400</v>
      </c>
      <c r="P26" s="451">
        <f aca="true" t="shared" si="25" ref="P26:P33">+H26*0.085</f>
        <v>414286.60000000003</v>
      </c>
      <c r="Q26" s="451">
        <f aca="true" t="shared" si="26" ref="Q26:Q33">+H26*12%</f>
        <v>584875.2</v>
      </c>
      <c r="R26" s="451">
        <f aca="true" t="shared" si="27" ref="R26:R32">+H26*0.522%</f>
        <v>25442.0712</v>
      </c>
      <c r="S26" s="451">
        <f aca="true" t="shared" si="28" ref="S26:S33">+((P26+Q26+R26)/30*F26)</f>
        <v>12329399.916773334</v>
      </c>
      <c r="T26" s="451">
        <f aca="true" t="shared" si="29" ref="T26:T33">+H26*0.04</f>
        <v>194958.4</v>
      </c>
      <c r="U26" s="451">
        <f aca="true" t="shared" si="30" ref="U26:U33">+(T26/30)*F26</f>
        <v>2345999.413333333</v>
      </c>
      <c r="V26" s="451">
        <f aca="true" t="shared" si="31" ref="V26:V33">+H26*0.03</f>
        <v>146218.8</v>
      </c>
      <c r="W26" s="451">
        <f aca="true" t="shared" si="32" ref="W26:W33">+H26*0.02</f>
        <v>97479.2</v>
      </c>
      <c r="X26" s="451">
        <f aca="true" t="shared" si="33" ref="X26:X33">+((V26+W26)/30*F26)</f>
        <v>2932499.2666666666</v>
      </c>
      <c r="Y26" s="451">
        <f aca="true" t="shared" si="34" ref="Y26:Y33">K26+L26+M26+N26+O26+S26+U26+X26</f>
        <v>104874991.93010667</v>
      </c>
      <c r="Z26" s="451">
        <f aca="true" t="shared" si="35" ref="Z26:Z33">+Y26/12</f>
        <v>8739582.660842223</v>
      </c>
      <c r="AA26" s="903"/>
      <c r="AB26" s="453"/>
      <c r="AC26" s="443"/>
      <c r="AD26" s="426"/>
      <c r="AE26" s="426"/>
      <c r="AF26" s="426"/>
      <c r="AG26" s="426"/>
    </row>
    <row r="27" spans="1:33" ht="14.25">
      <c r="A27" s="582" t="s">
        <v>402</v>
      </c>
      <c r="B27" s="448" t="s">
        <v>452</v>
      </c>
      <c r="C27" s="449">
        <v>1</v>
      </c>
      <c r="D27" s="506">
        <v>40544</v>
      </c>
      <c r="E27" s="506">
        <v>40908</v>
      </c>
      <c r="F27" s="505">
        <f t="shared" si="19"/>
        <v>361</v>
      </c>
      <c r="G27" s="451"/>
      <c r="H27" s="593">
        <f>3459437*(1+$C$8)</f>
        <v>3569101.1529</v>
      </c>
      <c r="I27" s="592">
        <v>0</v>
      </c>
      <c r="J27" s="592">
        <f aca="true" t="shared" si="36" ref="J27:J33">+I27+H27</f>
        <v>3569101.1529</v>
      </c>
      <c r="K27" s="451">
        <f t="shared" si="22"/>
        <v>42948183.87323</v>
      </c>
      <c r="L27" s="451">
        <f aca="true" t="shared" si="37" ref="L27:L33">+J27</f>
        <v>3569101.1529</v>
      </c>
      <c r="M27" s="451">
        <f t="shared" si="23"/>
        <v>428292.138348</v>
      </c>
      <c r="N27" s="451">
        <f aca="true" t="shared" si="38" ref="N27:N33">+L27</f>
        <v>3569101.1529</v>
      </c>
      <c r="O27" s="451">
        <f t="shared" si="24"/>
        <v>1784550.57645</v>
      </c>
      <c r="P27" s="451">
        <f t="shared" si="25"/>
        <v>303373.59799650003</v>
      </c>
      <c r="Q27" s="451">
        <f t="shared" si="26"/>
        <v>428292.138348</v>
      </c>
      <c r="R27" s="451">
        <f t="shared" si="27"/>
        <v>18630.708018138</v>
      </c>
      <c r="S27" s="451">
        <f t="shared" si="28"/>
        <v>9028567.21383041</v>
      </c>
      <c r="T27" s="451">
        <f t="shared" si="29"/>
        <v>142764.046116</v>
      </c>
      <c r="U27" s="451">
        <f t="shared" si="30"/>
        <v>1717927.3549292</v>
      </c>
      <c r="V27" s="451">
        <f t="shared" si="31"/>
        <v>107073.034587</v>
      </c>
      <c r="W27" s="451">
        <f t="shared" si="32"/>
        <v>71382.023058</v>
      </c>
      <c r="X27" s="451">
        <f t="shared" si="33"/>
        <v>2147409.1936615002</v>
      </c>
      <c r="Y27" s="451">
        <f t="shared" si="34"/>
        <v>65193132.65624912</v>
      </c>
      <c r="Z27" s="451">
        <f t="shared" si="35"/>
        <v>5432761.054687426</v>
      </c>
      <c r="AA27" s="903"/>
      <c r="AB27" s="452"/>
      <c r="AC27" s="443"/>
      <c r="AD27" s="426"/>
      <c r="AE27" s="426"/>
      <c r="AF27" s="426"/>
      <c r="AG27" s="426"/>
    </row>
    <row r="28" spans="1:33" ht="14.25">
      <c r="A28" s="587" t="s">
        <v>649</v>
      </c>
      <c r="B28" s="448" t="s">
        <v>452</v>
      </c>
      <c r="C28" s="449">
        <v>1</v>
      </c>
      <c r="D28" s="506">
        <v>40544</v>
      </c>
      <c r="E28" s="506">
        <v>40908</v>
      </c>
      <c r="F28" s="505">
        <f t="shared" si="19"/>
        <v>361</v>
      </c>
      <c r="G28" s="451"/>
      <c r="H28" s="593">
        <f>3459437*(1+$C$8)</f>
        <v>3569101.1529</v>
      </c>
      <c r="I28" s="592">
        <v>0</v>
      </c>
      <c r="J28" s="592">
        <f t="shared" si="36"/>
        <v>3569101.1529</v>
      </c>
      <c r="K28" s="451">
        <f t="shared" si="22"/>
        <v>42948183.87323</v>
      </c>
      <c r="L28" s="451">
        <f t="shared" si="37"/>
        <v>3569101.1529</v>
      </c>
      <c r="M28" s="451">
        <f t="shared" si="23"/>
        <v>428292.138348</v>
      </c>
      <c r="N28" s="451">
        <f t="shared" si="38"/>
        <v>3569101.1529</v>
      </c>
      <c r="O28" s="451">
        <f t="shared" si="24"/>
        <v>1784550.57645</v>
      </c>
      <c r="P28" s="451">
        <f t="shared" si="25"/>
        <v>303373.59799650003</v>
      </c>
      <c r="Q28" s="451">
        <f t="shared" si="26"/>
        <v>428292.138348</v>
      </c>
      <c r="R28" s="451">
        <f t="shared" si="27"/>
        <v>18630.708018138</v>
      </c>
      <c r="S28" s="451">
        <f t="shared" si="28"/>
        <v>9028567.21383041</v>
      </c>
      <c r="T28" s="451">
        <f t="shared" si="29"/>
        <v>142764.046116</v>
      </c>
      <c r="U28" s="451">
        <f t="shared" si="30"/>
        <v>1717927.3549292</v>
      </c>
      <c r="V28" s="451">
        <f t="shared" si="31"/>
        <v>107073.034587</v>
      </c>
      <c r="W28" s="451">
        <f t="shared" si="32"/>
        <v>71382.023058</v>
      </c>
      <c r="X28" s="451">
        <f t="shared" si="33"/>
        <v>2147409.1936615002</v>
      </c>
      <c r="Y28" s="451">
        <f t="shared" si="34"/>
        <v>65193132.65624912</v>
      </c>
      <c r="Z28" s="451">
        <f t="shared" si="35"/>
        <v>5432761.054687426</v>
      </c>
      <c r="AA28" s="920"/>
      <c r="AB28" s="452"/>
      <c r="AC28" s="443"/>
      <c r="AD28" s="536"/>
      <c r="AE28" s="426"/>
      <c r="AF28" s="426"/>
      <c r="AG28" s="426"/>
    </row>
    <row r="29" spans="1:33" ht="14.25">
      <c r="A29" s="587" t="s">
        <v>650</v>
      </c>
      <c r="B29" s="448" t="s">
        <v>452</v>
      </c>
      <c r="C29" s="449">
        <v>1</v>
      </c>
      <c r="D29" s="506">
        <v>40544</v>
      </c>
      <c r="E29" s="506">
        <v>40908</v>
      </c>
      <c r="F29" s="505">
        <f t="shared" si="19"/>
        <v>361</v>
      </c>
      <c r="G29" s="451"/>
      <c r="H29" s="593">
        <f>3459437*(1+$C$8)</f>
        <v>3569101.1529</v>
      </c>
      <c r="I29" s="592">
        <v>0</v>
      </c>
      <c r="J29" s="592">
        <f t="shared" si="36"/>
        <v>3569101.1529</v>
      </c>
      <c r="K29" s="451">
        <f t="shared" si="22"/>
        <v>42948183.87323</v>
      </c>
      <c r="L29" s="451">
        <f t="shared" si="37"/>
        <v>3569101.1529</v>
      </c>
      <c r="M29" s="451">
        <f t="shared" si="23"/>
        <v>428292.138348</v>
      </c>
      <c r="N29" s="451">
        <f t="shared" si="38"/>
        <v>3569101.1529</v>
      </c>
      <c r="O29" s="451">
        <f t="shared" si="24"/>
        <v>1784550.57645</v>
      </c>
      <c r="P29" s="451">
        <f t="shared" si="25"/>
        <v>303373.59799650003</v>
      </c>
      <c r="Q29" s="451">
        <f t="shared" si="26"/>
        <v>428292.138348</v>
      </c>
      <c r="R29" s="451">
        <f t="shared" si="27"/>
        <v>18630.708018138</v>
      </c>
      <c r="S29" s="451">
        <f t="shared" si="28"/>
        <v>9028567.21383041</v>
      </c>
      <c r="T29" s="451">
        <f t="shared" si="29"/>
        <v>142764.046116</v>
      </c>
      <c r="U29" s="451">
        <f t="shared" si="30"/>
        <v>1717927.3549292</v>
      </c>
      <c r="V29" s="451">
        <f t="shared" si="31"/>
        <v>107073.034587</v>
      </c>
      <c r="W29" s="451">
        <f t="shared" si="32"/>
        <v>71382.023058</v>
      </c>
      <c r="X29" s="451">
        <f t="shared" si="33"/>
        <v>2147409.1936615002</v>
      </c>
      <c r="Y29" s="451">
        <f t="shared" si="34"/>
        <v>65193132.65624912</v>
      </c>
      <c r="Z29" s="451">
        <f t="shared" si="35"/>
        <v>5432761.054687426</v>
      </c>
      <c r="AA29" s="921"/>
      <c r="AB29" s="452"/>
      <c r="AC29" s="443"/>
      <c r="AD29" s="426"/>
      <c r="AE29" s="426"/>
      <c r="AF29" s="426"/>
      <c r="AG29" s="426"/>
    </row>
    <row r="30" spans="1:33" ht="14.25">
      <c r="A30" s="588" t="s">
        <v>392</v>
      </c>
      <c r="B30" s="555" t="s">
        <v>448</v>
      </c>
      <c r="C30" s="449">
        <v>1</v>
      </c>
      <c r="D30" s="506">
        <v>40544</v>
      </c>
      <c r="E30" s="506">
        <v>40908</v>
      </c>
      <c r="F30" s="505">
        <f>DAYS360(D30,E30,0)+1</f>
        <v>361</v>
      </c>
      <c r="G30" s="450"/>
      <c r="H30" s="592">
        <f>2799970*(1+$C$8)</f>
        <v>2888729.049</v>
      </c>
      <c r="I30" s="592"/>
      <c r="J30" s="592">
        <f t="shared" si="36"/>
        <v>2888729.049</v>
      </c>
      <c r="K30" s="451">
        <f t="shared" si="22"/>
        <v>34761039.5563</v>
      </c>
      <c r="L30" s="451">
        <f t="shared" si="37"/>
        <v>2888729.049</v>
      </c>
      <c r="M30" s="451">
        <f t="shared" si="23"/>
        <v>346647.48588</v>
      </c>
      <c r="N30" s="451">
        <f t="shared" si="38"/>
        <v>2888729.049</v>
      </c>
      <c r="O30" s="451">
        <f t="shared" si="24"/>
        <v>1444364.5245</v>
      </c>
      <c r="P30" s="451">
        <f t="shared" si="25"/>
        <v>245541.96916500002</v>
      </c>
      <c r="Q30" s="451">
        <f t="shared" si="26"/>
        <v>346647.48588</v>
      </c>
      <c r="R30" s="451">
        <f t="shared" si="27"/>
        <v>15079.16563578</v>
      </c>
      <c r="S30" s="451">
        <f t="shared" si="28"/>
        <v>7307465.7355253855</v>
      </c>
      <c r="T30" s="451">
        <f t="shared" si="29"/>
        <v>115549.16196000001</v>
      </c>
      <c r="U30" s="451">
        <f t="shared" si="30"/>
        <v>1390441.5822520002</v>
      </c>
      <c r="V30" s="451">
        <f t="shared" si="31"/>
        <v>86661.87147</v>
      </c>
      <c r="W30" s="451">
        <f t="shared" si="32"/>
        <v>57774.580980000006</v>
      </c>
      <c r="X30" s="451">
        <f t="shared" si="33"/>
        <v>1738051.977815</v>
      </c>
      <c r="Y30" s="451">
        <f t="shared" si="34"/>
        <v>52765468.960272394</v>
      </c>
      <c r="Z30" s="451">
        <f t="shared" si="35"/>
        <v>4397122.413356033</v>
      </c>
      <c r="AA30" s="922"/>
      <c r="AB30" s="452"/>
      <c r="AC30" s="443"/>
      <c r="AD30" s="426"/>
      <c r="AE30" s="426"/>
      <c r="AF30" s="426"/>
      <c r="AG30" s="426"/>
    </row>
    <row r="31" spans="1:33" ht="14.25">
      <c r="A31" s="588" t="s">
        <v>25</v>
      </c>
      <c r="B31" s="555" t="s">
        <v>448</v>
      </c>
      <c r="C31" s="449">
        <v>1</v>
      </c>
      <c r="D31" s="506">
        <v>40544</v>
      </c>
      <c r="E31" s="506">
        <v>40908</v>
      </c>
      <c r="F31" s="505">
        <f>DAYS360(D31,E31,0)+1</f>
        <v>361</v>
      </c>
      <c r="G31" s="450"/>
      <c r="H31" s="592">
        <f>2799970*(1+$C$8)</f>
        <v>2888729.049</v>
      </c>
      <c r="I31" s="592"/>
      <c r="J31" s="592">
        <f>+I31+H31</f>
        <v>2888729.049</v>
      </c>
      <c r="K31" s="451">
        <f>+J31/30*F31</f>
        <v>34761039.5563</v>
      </c>
      <c r="L31" s="451">
        <f>+J31</f>
        <v>2888729.049</v>
      </c>
      <c r="M31" s="451">
        <f>+L31*12%</f>
        <v>346647.48588</v>
      </c>
      <c r="N31" s="451">
        <f>+L31</f>
        <v>2888729.049</v>
      </c>
      <c r="O31" s="451">
        <f>+J31/30*15</f>
        <v>1444364.5245</v>
      </c>
      <c r="P31" s="451">
        <f>+H31*0.085</f>
        <v>245541.96916500002</v>
      </c>
      <c r="Q31" s="451">
        <f>+H31*12%</f>
        <v>346647.48588</v>
      </c>
      <c r="R31" s="451">
        <f>+H31*1.044%</f>
        <v>30158.33127156</v>
      </c>
      <c r="S31" s="451">
        <f>+((P31+Q31+R31)/30*F31)</f>
        <v>7488918.362009272</v>
      </c>
      <c r="T31" s="451">
        <f>+H31*0.04</f>
        <v>115549.16196000001</v>
      </c>
      <c r="U31" s="451">
        <f>+(T31/30)*F31</f>
        <v>1390441.5822520002</v>
      </c>
      <c r="V31" s="451">
        <f>+H31*0.03</f>
        <v>86661.87147</v>
      </c>
      <c r="W31" s="451">
        <f>+H31*0.02</f>
        <v>57774.580980000006</v>
      </c>
      <c r="X31" s="451">
        <f>+((V31+W31)/30*F31)</f>
        <v>1738051.977815</v>
      </c>
      <c r="Y31" s="451">
        <f>K31+L31+M31+N31+O31+S31+U31+X31</f>
        <v>52946921.58675628</v>
      </c>
      <c r="Z31" s="451">
        <f>+Y31/12</f>
        <v>4412243.465563023</v>
      </c>
      <c r="AA31" s="923"/>
      <c r="AB31" s="917"/>
      <c r="AC31" s="918"/>
      <c r="AD31" s="426"/>
      <c r="AE31" s="426"/>
      <c r="AF31" s="426"/>
      <c r="AG31" s="426"/>
    </row>
    <row r="32" spans="1:33" ht="14.25">
      <c r="A32" s="587" t="s">
        <v>642</v>
      </c>
      <c r="B32" s="554" t="s">
        <v>444</v>
      </c>
      <c r="C32" s="449">
        <v>1</v>
      </c>
      <c r="D32" s="506">
        <v>40544</v>
      </c>
      <c r="E32" s="506">
        <v>40908</v>
      </c>
      <c r="F32" s="505">
        <f>DAYS360(D32,E32,0)+1</f>
        <v>361</v>
      </c>
      <c r="G32" s="451"/>
      <c r="H32" s="593">
        <f>1256612*(1+$C$8)</f>
        <v>1296446.6004</v>
      </c>
      <c r="I32" s="592">
        <v>0</v>
      </c>
      <c r="J32" s="592">
        <f t="shared" si="36"/>
        <v>1296446.6004</v>
      </c>
      <c r="K32" s="451">
        <f t="shared" si="22"/>
        <v>15600574.091480002</v>
      </c>
      <c r="L32" s="451">
        <f t="shared" si="37"/>
        <v>1296446.6004</v>
      </c>
      <c r="M32" s="451">
        <f t="shared" si="23"/>
        <v>155573.59204800002</v>
      </c>
      <c r="N32" s="451">
        <f t="shared" si="38"/>
        <v>1296446.6004</v>
      </c>
      <c r="O32" s="451">
        <f t="shared" si="24"/>
        <v>648223.3002</v>
      </c>
      <c r="P32" s="451">
        <f t="shared" si="25"/>
        <v>110197.96103400002</v>
      </c>
      <c r="Q32" s="451">
        <f t="shared" si="26"/>
        <v>155573.59204800002</v>
      </c>
      <c r="R32" s="451">
        <f t="shared" si="27"/>
        <v>6767.4512540880005</v>
      </c>
      <c r="S32" s="451">
        <f t="shared" si="28"/>
        <v>3279552.6855109264</v>
      </c>
      <c r="T32" s="451">
        <f t="shared" si="29"/>
        <v>51857.86401600001</v>
      </c>
      <c r="U32" s="451">
        <f t="shared" si="30"/>
        <v>624022.9636592001</v>
      </c>
      <c r="V32" s="451">
        <f t="shared" si="31"/>
        <v>38893.398012000005</v>
      </c>
      <c r="W32" s="451">
        <f t="shared" si="32"/>
        <v>25928.932008000003</v>
      </c>
      <c r="X32" s="451">
        <f t="shared" si="33"/>
        <v>780028.7045740002</v>
      </c>
      <c r="Y32" s="451">
        <f t="shared" si="34"/>
        <v>23680868.53827213</v>
      </c>
      <c r="Z32" s="451">
        <f t="shared" si="35"/>
        <v>1973405.7115226777</v>
      </c>
      <c r="AA32" s="924"/>
      <c r="AB32" s="917"/>
      <c r="AC32" s="918"/>
      <c r="AD32" s="426"/>
      <c r="AE32" s="426"/>
      <c r="AF32" s="426"/>
      <c r="AG32" s="426"/>
    </row>
    <row r="33" spans="1:33" ht="14.25">
      <c r="A33" s="587" t="s">
        <v>393</v>
      </c>
      <c r="B33" s="554" t="s">
        <v>450</v>
      </c>
      <c r="C33" s="449">
        <v>11</v>
      </c>
      <c r="D33" s="506">
        <v>40544</v>
      </c>
      <c r="E33" s="506">
        <v>40908</v>
      </c>
      <c r="F33" s="505">
        <f>DAYS360(D33,E33,0)+1</f>
        <v>361</v>
      </c>
      <c r="G33" s="449"/>
      <c r="H33" s="592">
        <f>(1507988*(1+$C$8)*C33)</f>
        <v>17113703.4156</v>
      </c>
      <c r="I33" s="592">
        <v>0</v>
      </c>
      <c r="J33" s="592">
        <f t="shared" si="36"/>
        <v>17113703.4156</v>
      </c>
      <c r="K33" s="451">
        <f t="shared" si="22"/>
        <v>205934897.76772</v>
      </c>
      <c r="L33" s="451">
        <f t="shared" si="37"/>
        <v>17113703.4156</v>
      </c>
      <c r="M33" s="451">
        <f t="shared" si="23"/>
        <v>2053644.409872</v>
      </c>
      <c r="N33" s="451">
        <f t="shared" si="38"/>
        <v>17113703.4156</v>
      </c>
      <c r="O33" s="451">
        <f t="shared" si="24"/>
        <v>8556851.7078</v>
      </c>
      <c r="P33" s="451">
        <f t="shared" si="25"/>
        <v>1454664.7903260002</v>
      </c>
      <c r="Q33" s="451">
        <f t="shared" si="26"/>
        <v>2053644.409872</v>
      </c>
      <c r="R33" s="451">
        <f>+H33*1.044%</f>
        <v>178667.063658864</v>
      </c>
      <c r="S33" s="451">
        <f t="shared" si="28"/>
        <v>44366614.3750776</v>
      </c>
      <c r="T33" s="451">
        <f t="shared" si="29"/>
        <v>684548.136624</v>
      </c>
      <c r="U33" s="451">
        <f t="shared" si="30"/>
        <v>8237395.9107088</v>
      </c>
      <c r="V33" s="451">
        <f t="shared" si="31"/>
        <v>513411.102468</v>
      </c>
      <c r="W33" s="451">
        <f t="shared" si="32"/>
        <v>342274.068312</v>
      </c>
      <c r="X33" s="451">
        <f t="shared" si="33"/>
        <v>10296744.888386</v>
      </c>
      <c r="Y33" s="451">
        <f t="shared" si="34"/>
        <v>313673555.8907644</v>
      </c>
      <c r="Z33" s="451">
        <f t="shared" si="35"/>
        <v>26139462.990897033</v>
      </c>
      <c r="AA33" s="924"/>
      <c r="AB33" s="917"/>
      <c r="AC33" s="918"/>
      <c r="AD33" s="426"/>
      <c r="AE33" s="426"/>
      <c r="AF33" s="426"/>
      <c r="AG33" s="426"/>
    </row>
    <row r="34" spans="1:33" ht="12.75">
      <c r="A34" s="442"/>
      <c r="B34" s="442"/>
      <c r="C34" s="444"/>
      <c r="D34" s="444"/>
      <c r="E34" s="444"/>
      <c r="F34" s="444"/>
      <c r="G34" s="444"/>
      <c r="H34" s="901"/>
      <c r="I34" s="901"/>
      <c r="J34" s="901"/>
      <c r="K34" s="444"/>
      <c r="L34" s="444"/>
      <c r="M34" s="444"/>
      <c r="N34" s="444"/>
      <c r="O34" s="444"/>
      <c r="P34" s="445"/>
      <c r="Q34" s="446"/>
      <c r="R34" s="446"/>
      <c r="S34" s="447"/>
      <c r="T34" s="446"/>
      <c r="U34" s="447"/>
      <c r="V34" s="446"/>
      <c r="W34" s="446"/>
      <c r="X34" s="447"/>
      <c r="Y34" s="444"/>
      <c r="Z34" s="444"/>
      <c r="AA34" s="924"/>
      <c r="AB34" s="917"/>
      <c r="AC34" s="918"/>
      <c r="AD34" s="426"/>
      <c r="AE34" s="426"/>
      <c r="AF34" s="426"/>
      <c r="AG34" s="426"/>
    </row>
    <row r="35" spans="1:33" s="375" customFormat="1" ht="14.25">
      <c r="A35" s="598" t="s">
        <v>627</v>
      </c>
      <c r="B35" s="554"/>
      <c r="C35" s="450">
        <f>SUM(C36:C38)</f>
        <v>3</v>
      </c>
      <c r="D35" s="506"/>
      <c r="E35" s="506"/>
      <c r="F35" s="505"/>
      <c r="G35" s="450"/>
      <c r="H35" s="913"/>
      <c r="I35" s="915"/>
      <c r="J35" s="915"/>
      <c r="K35" s="499"/>
      <c r="L35" s="499"/>
      <c r="M35" s="499"/>
      <c r="N35" s="499"/>
      <c r="O35" s="499"/>
      <c r="P35" s="499"/>
      <c r="Q35" s="499"/>
      <c r="R35" s="499"/>
      <c r="S35" s="499"/>
      <c r="T35" s="499"/>
      <c r="U35" s="499"/>
      <c r="V35" s="499"/>
      <c r="W35" s="499"/>
      <c r="X35" s="499"/>
      <c r="Y35" s="499"/>
      <c r="Z35" s="499"/>
      <c r="AA35" s="925"/>
      <c r="AB35" s="917"/>
      <c r="AC35" s="918"/>
      <c r="AD35" s="426"/>
      <c r="AE35" s="426"/>
      <c r="AF35" s="426"/>
      <c r="AG35" s="426"/>
    </row>
    <row r="36" spans="1:33" ht="14.25">
      <c r="A36" s="588" t="s">
        <v>547</v>
      </c>
      <c r="B36" s="555" t="s">
        <v>548</v>
      </c>
      <c r="C36" s="449">
        <v>1</v>
      </c>
      <c r="D36" s="506">
        <v>40544</v>
      </c>
      <c r="E36" s="506">
        <v>40908</v>
      </c>
      <c r="F36" s="505">
        <f>DAYS360(D36,E36,0)+1</f>
        <v>361</v>
      </c>
      <c r="G36" s="450"/>
      <c r="H36" s="593">
        <f>1989000*(1+$C$8)</f>
        <v>2052051.3</v>
      </c>
      <c r="I36" s="592">
        <v>0</v>
      </c>
      <c r="J36" s="592">
        <f>+I36+H36</f>
        <v>2052051.3</v>
      </c>
      <c r="K36" s="451">
        <f>+J36/30*F36</f>
        <v>24693017.310000002</v>
      </c>
      <c r="L36" s="451">
        <f>+J36</f>
        <v>2052051.3</v>
      </c>
      <c r="M36" s="451">
        <f>+L36*12%</f>
        <v>246246.156</v>
      </c>
      <c r="N36" s="451">
        <f>+L36</f>
        <v>2052051.3</v>
      </c>
      <c r="O36" s="451">
        <f>+J36/30*15</f>
        <v>1026025.6500000001</v>
      </c>
      <c r="P36" s="451">
        <f>+H36*0.085</f>
        <v>174424.3605</v>
      </c>
      <c r="Q36" s="451">
        <f>+H36*12%</f>
        <v>246246.156</v>
      </c>
      <c r="R36" s="451">
        <f>+H36*0.522%</f>
        <v>10711.707785999999</v>
      </c>
      <c r="S36" s="451">
        <f>+((P36+Q36+R36)/30*F36)</f>
        <v>5190966.0989082</v>
      </c>
      <c r="T36" s="451">
        <f>+H36*0.04</f>
        <v>82082.05200000001</v>
      </c>
      <c r="U36" s="451">
        <f>+(T36/30)*F36</f>
        <v>987720.6924000002</v>
      </c>
      <c r="V36" s="451">
        <f>+H36*0.03</f>
        <v>61561.539</v>
      </c>
      <c r="W36" s="451">
        <f>+H36*0.02</f>
        <v>41041.026000000005</v>
      </c>
      <c r="X36" s="451">
        <f>+((V36+W36)/30*F36)</f>
        <v>1234650.8655</v>
      </c>
      <c r="Y36" s="451">
        <f>K36+L36+M36+N36+O36+S36+U36+X36</f>
        <v>37482729.3728082</v>
      </c>
      <c r="Z36" s="451">
        <f>+Y36/12</f>
        <v>3123560.7810673504</v>
      </c>
      <c r="AA36" s="920"/>
      <c r="AB36" s="917"/>
      <c r="AC36" s="918"/>
      <c r="AD36" s="426"/>
      <c r="AE36" s="426"/>
      <c r="AF36" s="426"/>
      <c r="AG36" s="426"/>
    </row>
    <row r="37" spans="1:33" ht="14.25">
      <c r="A37" s="587" t="s">
        <v>545</v>
      </c>
      <c r="B37" s="554" t="s">
        <v>449</v>
      </c>
      <c r="C37" s="449">
        <v>1</v>
      </c>
      <c r="D37" s="506">
        <v>40544</v>
      </c>
      <c r="E37" s="506">
        <v>40908</v>
      </c>
      <c r="F37" s="505">
        <f>DAYS360(D37,E37,0)+1</f>
        <v>361</v>
      </c>
      <c r="G37" s="451"/>
      <c r="H37" s="592">
        <f>1482616*(1+$C$8)</f>
        <v>1529614.9272</v>
      </c>
      <c r="I37" s="592">
        <v>0</v>
      </c>
      <c r="J37" s="592">
        <f>+I37+H37</f>
        <v>1529614.9272</v>
      </c>
      <c r="K37" s="451">
        <f>+J37/30*F37</f>
        <v>18406366.29064</v>
      </c>
      <c r="L37" s="451">
        <f>+J37</f>
        <v>1529614.9272</v>
      </c>
      <c r="M37" s="451">
        <f>+L37*12%</f>
        <v>183553.791264</v>
      </c>
      <c r="N37" s="451">
        <f>+L37</f>
        <v>1529614.9272</v>
      </c>
      <c r="O37" s="451">
        <f>+J37/30*15</f>
        <v>764807.4636</v>
      </c>
      <c r="P37" s="451">
        <f>+H37*0.085</f>
        <v>130017.26881200001</v>
      </c>
      <c r="Q37" s="451">
        <f>+H37*12%</f>
        <v>183553.791264</v>
      </c>
      <c r="R37" s="451">
        <f>+H37*0.522%</f>
        <v>7984.589919984</v>
      </c>
      <c r="S37" s="451">
        <f>+((P37+Q37+R37)/30*F37)</f>
        <v>3869386.3216183404</v>
      </c>
      <c r="T37" s="451">
        <f>+H37*0.04</f>
        <v>61184.597088</v>
      </c>
      <c r="U37" s="451">
        <f>+(T37/30)*F37</f>
        <v>736254.6516256001</v>
      </c>
      <c r="V37" s="451">
        <f>+H37*0.03</f>
        <v>45888.447816</v>
      </c>
      <c r="W37" s="451">
        <f>+H37*0.02</f>
        <v>30592.298544</v>
      </c>
      <c r="X37" s="451">
        <f>+((V37+W37)/30*F37)</f>
        <v>920318.314532</v>
      </c>
      <c r="Y37" s="451">
        <f>K37+L37+M37+N37+O37+S37+U37+X37</f>
        <v>27939916.687679943</v>
      </c>
      <c r="Z37" s="451">
        <f>+Y37/12</f>
        <v>2328326.390639995</v>
      </c>
      <c r="AA37" s="919"/>
      <c r="AB37" s="917"/>
      <c r="AC37" s="918"/>
      <c r="AD37" s="426"/>
      <c r="AE37" s="426"/>
      <c r="AF37" s="426"/>
      <c r="AG37" s="426"/>
    </row>
    <row r="38" spans="1:33" ht="14.25">
      <c r="A38" s="554" t="s">
        <v>546</v>
      </c>
      <c r="B38" s="554" t="s">
        <v>445</v>
      </c>
      <c r="C38" s="449">
        <v>1</v>
      </c>
      <c r="D38" s="506">
        <v>40544</v>
      </c>
      <c r="E38" s="506">
        <v>40908</v>
      </c>
      <c r="F38" s="505">
        <f>DAYS360(D38,E38,0)+1</f>
        <v>361</v>
      </c>
      <c r="G38" s="449"/>
      <c r="H38" s="592">
        <f>707222*(1+$C$8)</f>
        <v>729640.9374</v>
      </c>
      <c r="I38" s="592">
        <f>+E8</f>
        <v>63600</v>
      </c>
      <c r="J38" s="592">
        <f>+I38+H38</f>
        <v>793240.9374</v>
      </c>
      <c r="K38" s="451">
        <f>+J38/30*F38</f>
        <v>9545332.61338</v>
      </c>
      <c r="L38" s="451">
        <f>+J38</f>
        <v>793240.9374</v>
      </c>
      <c r="M38" s="451">
        <f>+L38*12%</f>
        <v>95188.912488</v>
      </c>
      <c r="N38" s="451">
        <f>+L38</f>
        <v>793240.9374</v>
      </c>
      <c r="O38" s="451">
        <f>+J38/30*15</f>
        <v>396620.4687</v>
      </c>
      <c r="P38" s="451">
        <f>+H38*0.085</f>
        <v>62019.47967900001</v>
      </c>
      <c r="Q38" s="451">
        <f>+H38*12%</f>
        <v>87556.912488</v>
      </c>
      <c r="R38" s="451">
        <f>+H38*0.522%</f>
        <v>3808.725693228</v>
      </c>
      <c r="S38" s="451">
        <f>+((P38+Q38+R38)/30*F38)</f>
        <v>1845734.2515847438</v>
      </c>
      <c r="T38" s="451">
        <f>+H38*0.04</f>
        <v>29185.637496000003</v>
      </c>
      <c r="U38" s="451">
        <f>+(T38/30)*F38</f>
        <v>351200.5045352</v>
      </c>
      <c r="V38" s="451">
        <f>+H38*0.03</f>
        <v>21889.228122</v>
      </c>
      <c r="W38" s="451">
        <f>+H38*0.02</f>
        <v>14592.818748000002</v>
      </c>
      <c r="X38" s="451">
        <f>+((V38+W38)/30*F38)</f>
        <v>439000.6306690001</v>
      </c>
      <c r="Y38" s="451">
        <f>K38+L38+M38+N38+O38+S38+U38+X38</f>
        <v>14259559.256156944</v>
      </c>
      <c r="Z38" s="451">
        <f>+Y38/12</f>
        <v>1188296.6046797454</v>
      </c>
      <c r="AA38" s="919"/>
      <c r="AB38" s="917"/>
      <c r="AC38" s="918"/>
      <c r="AD38" s="426"/>
      <c r="AE38" s="426"/>
      <c r="AF38" s="426"/>
      <c r="AG38" s="426"/>
    </row>
    <row r="39" spans="1:33" ht="12.75">
      <c r="A39" s="442"/>
      <c r="B39" s="442"/>
      <c r="C39" s="444"/>
      <c r="D39" s="444"/>
      <c r="E39" s="444"/>
      <c r="F39" s="444"/>
      <c r="G39" s="444"/>
      <c r="H39" s="901"/>
      <c r="I39" s="901"/>
      <c r="J39" s="901"/>
      <c r="K39" s="444"/>
      <c r="L39" s="444"/>
      <c r="M39" s="444"/>
      <c r="N39" s="444"/>
      <c r="O39" s="444"/>
      <c r="P39" s="445"/>
      <c r="Q39" s="446"/>
      <c r="R39" s="446"/>
      <c r="S39" s="447"/>
      <c r="T39" s="446"/>
      <c r="U39" s="447"/>
      <c r="V39" s="446"/>
      <c r="W39" s="446"/>
      <c r="X39" s="447"/>
      <c r="Y39" s="444"/>
      <c r="Z39" s="444"/>
      <c r="AA39" s="919"/>
      <c r="AB39" s="917"/>
      <c r="AC39" s="918"/>
      <c r="AD39" s="426"/>
      <c r="AE39" s="426"/>
      <c r="AF39" s="426"/>
      <c r="AG39" s="426"/>
    </row>
    <row r="40" spans="1:33" s="375" customFormat="1" ht="14.25">
      <c r="A40" s="598" t="s">
        <v>628</v>
      </c>
      <c r="B40" s="554"/>
      <c r="C40" s="450">
        <f>SUM(C41:C43)</f>
        <v>3</v>
      </c>
      <c r="D40" s="506"/>
      <c r="E40" s="506"/>
      <c r="F40" s="505"/>
      <c r="G40" s="450"/>
      <c r="H40" s="913"/>
      <c r="I40" s="915"/>
      <c r="J40" s="915"/>
      <c r="K40" s="499"/>
      <c r="L40" s="499"/>
      <c r="M40" s="499"/>
      <c r="N40" s="499"/>
      <c r="O40" s="499"/>
      <c r="P40" s="499"/>
      <c r="Q40" s="499"/>
      <c r="R40" s="499"/>
      <c r="S40" s="499"/>
      <c r="T40" s="499"/>
      <c r="U40" s="499"/>
      <c r="V40" s="499"/>
      <c r="W40" s="499"/>
      <c r="X40" s="499"/>
      <c r="Y40" s="499"/>
      <c r="Z40" s="499"/>
      <c r="AA40" s="919"/>
      <c r="AB40" s="917"/>
      <c r="AC40" s="918"/>
      <c r="AD40" s="426"/>
      <c r="AE40" s="426"/>
      <c r="AF40" s="426"/>
      <c r="AG40" s="426"/>
    </row>
    <row r="41" spans="1:33" ht="14.25">
      <c r="A41" s="588" t="s">
        <v>547</v>
      </c>
      <c r="B41" s="555" t="s">
        <v>548</v>
      </c>
      <c r="C41" s="449">
        <v>1</v>
      </c>
      <c r="D41" s="506">
        <v>40664</v>
      </c>
      <c r="E41" s="506">
        <v>40908</v>
      </c>
      <c r="F41" s="505">
        <f>DAYS360(D41,E41,0)+1</f>
        <v>241</v>
      </c>
      <c r="G41" s="450"/>
      <c r="H41" s="593">
        <f>1989000*(1+$C$8)</f>
        <v>2052051.3</v>
      </c>
      <c r="I41" s="592">
        <v>0</v>
      </c>
      <c r="J41" s="592">
        <f>+I41+H41</f>
        <v>2052051.3</v>
      </c>
      <c r="K41" s="451">
        <f>+J41/30*F41</f>
        <v>16484812.110000001</v>
      </c>
      <c r="L41" s="451">
        <f>+J41</f>
        <v>2052051.3</v>
      </c>
      <c r="M41" s="451">
        <f>+L41*12%</f>
        <v>246246.156</v>
      </c>
      <c r="N41" s="451">
        <f>+L41</f>
        <v>2052051.3</v>
      </c>
      <c r="O41" s="451">
        <f>+J41/30*15</f>
        <v>1026025.6500000001</v>
      </c>
      <c r="P41" s="451">
        <f>+H41*0.085</f>
        <v>174424.3605</v>
      </c>
      <c r="Q41" s="451">
        <f>+H41*12%</f>
        <v>246246.156</v>
      </c>
      <c r="R41" s="451">
        <f>+H41*0.522%</f>
        <v>10711.707785999999</v>
      </c>
      <c r="S41" s="451">
        <f>+((P41+Q41+R41)/30*F41)</f>
        <v>3465437.2017642</v>
      </c>
      <c r="T41" s="451">
        <f>+H41*0.04</f>
        <v>82082.05200000001</v>
      </c>
      <c r="U41" s="451">
        <f>+(T41/30)*F41</f>
        <v>659392.4844000002</v>
      </c>
      <c r="V41" s="451">
        <f>+H41*0.03</f>
        <v>61561.539</v>
      </c>
      <c r="W41" s="451">
        <f>+H41*0.02</f>
        <v>41041.026000000005</v>
      </c>
      <c r="X41" s="451">
        <f>+((V41+W41)/30*F41)</f>
        <v>824240.6055000001</v>
      </c>
      <c r="Y41" s="451">
        <f>K41+L41+M41+N41+O41+S41+U41+X41</f>
        <v>26810256.8076642</v>
      </c>
      <c r="Z41" s="451">
        <f>+Y41/12</f>
        <v>2234188.06730535</v>
      </c>
      <c r="AA41" s="919"/>
      <c r="AB41" s="917"/>
      <c r="AC41" s="918"/>
      <c r="AD41" s="426"/>
      <c r="AE41" s="426"/>
      <c r="AF41" s="426"/>
      <c r="AG41" s="426"/>
    </row>
    <row r="42" spans="1:33" ht="14.25">
      <c r="A42" s="587" t="s">
        <v>545</v>
      </c>
      <c r="B42" s="554" t="s">
        <v>449</v>
      </c>
      <c r="C42" s="449">
        <v>1</v>
      </c>
      <c r="D42" s="506">
        <v>40664</v>
      </c>
      <c r="E42" s="506">
        <v>40908</v>
      </c>
      <c r="F42" s="505">
        <f>DAYS360(D42,E42,0)+1</f>
        <v>241</v>
      </c>
      <c r="G42" s="451"/>
      <c r="H42" s="592">
        <f>1482616*(1+$C$8)</f>
        <v>1529614.9272</v>
      </c>
      <c r="I42" s="592">
        <v>0</v>
      </c>
      <c r="J42" s="592">
        <f>+I42+H42</f>
        <v>1529614.9272</v>
      </c>
      <c r="K42" s="451">
        <f>+J42/30*F42</f>
        <v>12287906.58184</v>
      </c>
      <c r="L42" s="451">
        <f>+J42</f>
        <v>1529614.9272</v>
      </c>
      <c r="M42" s="451">
        <f>+L42*12%</f>
        <v>183553.791264</v>
      </c>
      <c r="N42" s="451">
        <f>+L42</f>
        <v>1529614.9272</v>
      </c>
      <c r="O42" s="451">
        <f>+J42/30*15</f>
        <v>764807.4636</v>
      </c>
      <c r="P42" s="451">
        <f>+H42*0.085</f>
        <v>130017.26881200001</v>
      </c>
      <c r="Q42" s="451">
        <f>+H42*12%</f>
        <v>183553.791264</v>
      </c>
      <c r="R42" s="451">
        <f>+H42*0.522%</f>
        <v>7984.589919984</v>
      </c>
      <c r="S42" s="451">
        <f>+((P42+Q42+R42)/30*F42)</f>
        <v>2583163.7216344047</v>
      </c>
      <c r="T42" s="451">
        <f>+H42*0.04</f>
        <v>61184.597088</v>
      </c>
      <c r="U42" s="451">
        <f>+(T42/30)*F42</f>
        <v>491516.2632736</v>
      </c>
      <c r="V42" s="451">
        <f>+H42*0.03</f>
        <v>45888.447816</v>
      </c>
      <c r="W42" s="451">
        <f>+H42*0.02</f>
        <v>30592.298544</v>
      </c>
      <c r="X42" s="451">
        <f>+((V42+W42)/30*F42)</f>
        <v>614395.329092</v>
      </c>
      <c r="Y42" s="451">
        <f>K42+L42+M42+N42+O42+S42+U42+X42</f>
        <v>19984573.005104005</v>
      </c>
      <c r="Z42" s="451">
        <f>+Y42/12</f>
        <v>1665381.083758667</v>
      </c>
      <c r="AA42" s="919"/>
      <c r="AB42" s="917"/>
      <c r="AC42" s="918"/>
      <c r="AD42" s="426"/>
      <c r="AE42" s="426"/>
      <c r="AF42" s="426"/>
      <c r="AG42" s="426"/>
    </row>
    <row r="43" spans="1:33" ht="14.25">
      <c r="A43" s="554" t="s">
        <v>546</v>
      </c>
      <c r="B43" s="554" t="s">
        <v>445</v>
      </c>
      <c r="C43" s="449">
        <v>1</v>
      </c>
      <c r="D43" s="506">
        <v>40664</v>
      </c>
      <c r="E43" s="506">
        <v>40908</v>
      </c>
      <c r="F43" s="505">
        <f>DAYS360(D43,E43,0)+1</f>
        <v>241</v>
      </c>
      <c r="G43" s="449"/>
      <c r="H43" s="592">
        <f>707222*(1+$C$8)</f>
        <v>729640.9374</v>
      </c>
      <c r="I43" s="592">
        <f>+E8</f>
        <v>63600</v>
      </c>
      <c r="J43" s="592">
        <f>+I43+H43</f>
        <v>793240.9374</v>
      </c>
      <c r="K43" s="451">
        <f>+J43/30*F43</f>
        <v>6372368.86378</v>
      </c>
      <c r="L43" s="451">
        <f>+J43</f>
        <v>793240.9374</v>
      </c>
      <c r="M43" s="451">
        <f>+L43*12%</f>
        <v>95188.912488</v>
      </c>
      <c r="N43" s="451">
        <f>+L43</f>
        <v>793240.9374</v>
      </c>
      <c r="O43" s="451">
        <f>+J43/30*15</f>
        <v>396620.4687</v>
      </c>
      <c r="P43" s="451">
        <f>+H43*0.085</f>
        <v>62019.47967900001</v>
      </c>
      <c r="Q43" s="451">
        <f>+H43*12%</f>
        <v>87556.912488</v>
      </c>
      <c r="R43" s="451">
        <f>+H43*0.522%</f>
        <v>3808.725693228</v>
      </c>
      <c r="S43" s="451">
        <f>+((P43+Q43+R43)/30*F43)</f>
        <v>1232193.7801438319</v>
      </c>
      <c r="T43" s="451">
        <f>+H43*0.04</f>
        <v>29185.637496000003</v>
      </c>
      <c r="U43" s="451">
        <f>+(T43/30)*F43</f>
        <v>234457.95455120003</v>
      </c>
      <c r="V43" s="451">
        <f>+H43*0.03</f>
        <v>21889.228122</v>
      </c>
      <c r="W43" s="451">
        <f>+H43*0.02</f>
        <v>14592.818748000002</v>
      </c>
      <c r="X43" s="451">
        <f>+((V43+W43)/30*F43)</f>
        <v>293072.44318900007</v>
      </c>
      <c r="Y43" s="451">
        <f>K43+L43+M43+N43+O43+S43+U43+X43</f>
        <v>10210384.297652032</v>
      </c>
      <c r="Z43" s="451">
        <f>+Y43/12</f>
        <v>850865.3581376694</v>
      </c>
      <c r="AA43" s="444"/>
      <c r="AB43" s="917"/>
      <c r="AC43" s="918"/>
      <c r="AD43" s="426"/>
      <c r="AE43" s="426"/>
      <c r="AF43" s="426"/>
      <c r="AG43" s="426"/>
    </row>
    <row r="44" spans="1:33" ht="12.75">
      <c r="A44" s="442"/>
      <c r="B44" s="442"/>
      <c r="C44" s="444"/>
      <c r="D44" s="444"/>
      <c r="E44" s="444"/>
      <c r="F44" s="444"/>
      <c r="G44" s="444"/>
      <c r="H44" s="901"/>
      <c r="I44" s="444"/>
      <c r="J44" s="444"/>
      <c r="K44" s="444"/>
      <c r="L44" s="444"/>
      <c r="M44" s="444"/>
      <c r="N44" s="444"/>
      <c r="O44" s="444"/>
      <c r="P44" s="445"/>
      <c r="Q44" s="446"/>
      <c r="R44" s="446"/>
      <c r="S44" s="447"/>
      <c r="T44" s="446"/>
      <c r="U44" s="447"/>
      <c r="V44" s="446"/>
      <c r="W44" s="446"/>
      <c r="X44" s="447"/>
      <c r="Y44" s="444"/>
      <c r="Z44" s="444"/>
      <c r="AA44" s="916"/>
      <c r="AB44" s="917"/>
      <c r="AC44" s="918"/>
      <c r="AD44" s="426"/>
      <c r="AE44" s="426"/>
      <c r="AF44" s="426"/>
      <c r="AG44" s="426"/>
    </row>
    <row r="45" spans="1:33" ht="12.75">
      <c r="A45" s="442"/>
      <c r="B45" s="442"/>
      <c r="C45" s="444"/>
      <c r="D45" s="444"/>
      <c r="E45" s="444"/>
      <c r="F45" s="444"/>
      <c r="G45" s="444"/>
      <c r="H45" s="901"/>
      <c r="I45" s="444"/>
      <c r="J45" s="444"/>
      <c r="K45" s="444"/>
      <c r="L45" s="444"/>
      <c r="M45" s="444"/>
      <c r="N45" s="444"/>
      <c r="O45" s="444"/>
      <c r="P45" s="445"/>
      <c r="Q45" s="446"/>
      <c r="R45" s="446"/>
      <c r="S45" s="447"/>
      <c r="T45" s="446"/>
      <c r="U45" s="447"/>
      <c r="V45" s="446"/>
      <c r="W45" s="446"/>
      <c r="X45" s="447"/>
      <c r="Y45" s="444"/>
      <c r="Z45" s="444"/>
      <c r="AA45" s="903"/>
      <c r="AB45" s="452"/>
      <c r="AC45" s="443"/>
      <c r="AD45" s="426"/>
      <c r="AE45" s="426"/>
      <c r="AF45" s="426"/>
      <c r="AG45" s="426"/>
    </row>
    <row r="46" spans="1:33" ht="12.75">
      <c r="A46" s="442"/>
      <c r="B46" s="442"/>
      <c r="C46" s="444"/>
      <c r="D46" s="444"/>
      <c r="E46" s="444"/>
      <c r="F46" s="444"/>
      <c r="G46" s="444"/>
      <c r="H46" s="901"/>
      <c r="I46" s="444"/>
      <c r="J46" s="444"/>
      <c r="K46" s="444"/>
      <c r="L46" s="444"/>
      <c r="M46" s="444"/>
      <c r="N46" s="444"/>
      <c r="O46" s="444"/>
      <c r="P46" s="445"/>
      <c r="Q46" s="446"/>
      <c r="R46" s="446"/>
      <c r="S46" s="447"/>
      <c r="T46" s="446"/>
      <c r="U46" s="447"/>
      <c r="V46" s="446"/>
      <c r="W46" s="446"/>
      <c r="X46" s="447"/>
      <c r="Y46" s="444"/>
      <c r="Z46" s="444"/>
      <c r="AA46" s="903"/>
      <c r="AB46" s="452"/>
      <c r="AC46" s="443"/>
      <c r="AD46" s="426"/>
      <c r="AE46" s="426"/>
      <c r="AF46" s="426"/>
      <c r="AG46" s="426"/>
    </row>
    <row r="47" spans="1:33" ht="12.75">
      <c r="A47" s="442"/>
      <c r="B47" s="442"/>
      <c r="C47" s="444"/>
      <c r="D47" s="444"/>
      <c r="E47" s="444"/>
      <c r="F47" s="444"/>
      <c r="G47" s="444"/>
      <c r="H47" s="901"/>
      <c r="I47" s="444"/>
      <c r="J47" s="444"/>
      <c r="K47" s="444"/>
      <c r="L47" s="444"/>
      <c r="M47" s="444"/>
      <c r="N47" s="444"/>
      <c r="O47" s="444"/>
      <c r="P47" s="445"/>
      <c r="Q47" s="446"/>
      <c r="R47" s="446"/>
      <c r="S47" s="447"/>
      <c r="T47" s="446"/>
      <c r="U47" s="447"/>
      <c r="V47" s="446"/>
      <c r="W47" s="446"/>
      <c r="X47" s="447"/>
      <c r="Y47" s="444"/>
      <c r="Z47" s="444"/>
      <c r="AA47" s="903"/>
      <c r="AB47" s="452"/>
      <c r="AC47" s="443"/>
      <c r="AD47" s="426"/>
      <c r="AE47" s="426"/>
      <c r="AF47" s="426"/>
      <c r="AG47" s="426"/>
    </row>
    <row r="48" spans="1:57" ht="12.75">
      <c r="A48" s="459"/>
      <c r="B48" s="459"/>
      <c r="C48" s="460"/>
      <c r="D48" s="460"/>
      <c r="E48" s="460"/>
      <c r="F48" s="460"/>
      <c r="G48" s="461"/>
      <c r="H48" s="1280"/>
      <c r="I48" s="461"/>
      <c r="J48" s="461"/>
      <c r="K48" s="461"/>
      <c r="L48" s="461"/>
      <c r="M48" s="461"/>
      <c r="N48" s="461"/>
      <c r="O48" s="461"/>
      <c r="P48" s="461"/>
      <c r="Q48" s="461"/>
      <c r="R48" s="461"/>
      <c r="S48" s="461"/>
      <c r="T48" s="461"/>
      <c r="U48" s="461"/>
      <c r="V48" s="461"/>
      <c r="W48" s="461"/>
      <c r="X48" s="461"/>
      <c r="Y48" s="461"/>
      <c r="Z48" s="461"/>
      <c r="AA48" s="903"/>
      <c r="AB48" s="452"/>
      <c r="AC48" s="443"/>
      <c r="AD48" s="426"/>
      <c r="AE48" s="426"/>
      <c r="AF48" s="426"/>
      <c r="AG48" s="426"/>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row>
    <row r="49" spans="1:57" ht="15.75">
      <c r="A49" s="487" t="s">
        <v>27</v>
      </c>
      <c r="B49" s="487" t="s">
        <v>443</v>
      </c>
      <c r="C49" s="444"/>
      <c r="D49" s="444"/>
      <c r="E49" s="444"/>
      <c r="F49" s="444"/>
      <c r="G49" s="444"/>
      <c r="H49" s="901"/>
      <c r="I49" s="444"/>
      <c r="J49" s="444"/>
      <c r="K49" s="444"/>
      <c r="L49" s="444"/>
      <c r="M49" s="444"/>
      <c r="N49" s="444"/>
      <c r="O49" s="444"/>
      <c r="P49" s="445"/>
      <c r="Q49" s="446"/>
      <c r="R49" s="446"/>
      <c r="S49" s="447"/>
      <c r="T49" s="446"/>
      <c r="U49" s="447"/>
      <c r="V49" s="446"/>
      <c r="W49" s="446"/>
      <c r="X49" s="447"/>
      <c r="Y49" s="490">
        <f>+Y50</f>
        <v>260774021.3410573</v>
      </c>
      <c r="Z49" s="444"/>
      <c r="AA49" s="903"/>
      <c r="AB49" s="452"/>
      <c r="AC49" s="443"/>
      <c r="AD49" s="426"/>
      <c r="AE49" s="426"/>
      <c r="AF49" s="426"/>
      <c r="AG49" s="426"/>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row>
    <row r="50" spans="1:57" ht="12.75">
      <c r="A50" s="492" t="str">
        <f>+GASTOS!A68</f>
        <v>COMERCIALIZACIÓN</v>
      </c>
      <c r="B50" s="492"/>
      <c r="C50" s="457">
        <f>SUM(C51:C55)</f>
        <v>5</v>
      </c>
      <c r="D50" s="457"/>
      <c r="E50" s="457"/>
      <c r="F50" s="457"/>
      <c r="G50" s="493">
        <f>SUM(G52:G55)</f>
        <v>0</v>
      </c>
      <c r="H50" s="914">
        <f aca="true" t="shared" si="39" ref="H50:Z50">SUM(H51:H55)</f>
        <v>13357877.7397</v>
      </c>
      <c r="I50" s="914">
        <f t="shared" si="39"/>
        <v>63600</v>
      </c>
      <c r="J50" s="914">
        <f t="shared" si="39"/>
        <v>15510317.7397</v>
      </c>
      <c r="K50" s="494">
        <f t="shared" si="39"/>
        <v>186640823.46772337</v>
      </c>
      <c r="L50" s="494">
        <f t="shared" si="39"/>
        <v>8547517.739699999</v>
      </c>
      <c r="M50" s="494">
        <f t="shared" si="39"/>
        <v>1025702.128764</v>
      </c>
      <c r="N50" s="494">
        <f t="shared" si="39"/>
        <v>8547517.739699999</v>
      </c>
      <c r="O50" s="494">
        <f t="shared" si="39"/>
        <v>7755158.86985</v>
      </c>
      <c r="P50" s="494">
        <f t="shared" si="39"/>
        <v>1135419.6078745</v>
      </c>
      <c r="Q50" s="494">
        <f t="shared" si="39"/>
        <v>1602945.328764</v>
      </c>
      <c r="R50" s="494">
        <f t="shared" si="39"/>
        <v>69728.121801234</v>
      </c>
      <c r="S50" s="494">
        <f t="shared" si="39"/>
        <v>33790719.8032248</v>
      </c>
      <c r="T50" s="494">
        <f t="shared" si="39"/>
        <v>534315.109588</v>
      </c>
      <c r="U50" s="494">
        <f t="shared" si="39"/>
        <v>6429591.818708933</v>
      </c>
      <c r="V50" s="494">
        <f t="shared" si="39"/>
        <v>400736.332191</v>
      </c>
      <c r="W50" s="494">
        <f t="shared" si="39"/>
        <v>267157.554794</v>
      </c>
      <c r="X50" s="494">
        <f t="shared" si="39"/>
        <v>8036989.773386167</v>
      </c>
      <c r="Y50" s="494">
        <f t="shared" si="39"/>
        <v>260774021.3410573</v>
      </c>
      <c r="Z50" s="494">
        <f t="shared" si="39"/>
        <v>21731168.445088103</v>
      </c>
      <c r="AA50" s="905"/>
      <c r="AB50" s="452"/>
      <c r="AC50" s="443"/>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row>
    <row r="51" spans="1:33" ht="14.25">
      <c r="A51" s="582" t="s">
        <v>250</v>
      </c>
      <c r="B51" s="448" t="s">
        <v>451</v>
      </c>
      <c r="C51" s="449">
        <v>1</v>
      </c>
      <c r="D51" s="506">
        <v>40544</v>
      </c>
      <c r="E51" s="506">
        <v>40908</v>
      </c>
      <c r="F51" s="505">
        <f>DAYS360(D51,E51,0)+1</f>
        <v>361</v>
      </c>
      <c r="G51" s="451">
        <f>+$E$7*13</f>
        <v>6962800</v>
      </c>
      <c r="H51" s="592">
        <f>+G51*70%</f>
        <v>4873960</v>
      </c>
      <c r="I51" s="592">
        <v>0</v>
      </c>
      <c r="J51" s="592">
        <f>G51</f>
        <v>6962800</v>
      </c>
      <c r="K51" s="451">
        <f>+J51/30*F51</f>
        <v>83785693.33333334</v>
      </c>
      <c r="L51" s="451">
        <v>0</v>
      </c>
      <c r="M51" s="451">
        <f>+L51*12%</f>
        <v>0</v>
      </c>
      <c r="N51" s="451">
        <v>0</v>
      </c>
      <c r="O51" s="451">
        <f>+J51/30*15</f>
        <v>3481400</v>
      </c>
      <c r="P51" s="451">
        <f>+H51*0.085</f>
        <v>414286.60000000003</v>
      </c>
      <c r="Q51" s="451">
        <f>+H51*12%</f>
        <v>584875.2</v>
      </c>
      <c r="R51" s="451">
        <f>+H51*0.522%</f>
        <v>25442.0712</v>
      </c>
      <c r="S51" s="451">
        <f>+((P51+Q51+R51)/30*F51)</f>
        <v>12329399.916773334</v>
      </c>
      <c r="T51" s="451">
        <f>+H51*0.04</f>
        <v>194958.4</v>
      </c>
      <c r="U51" s="451">
        <f>+(T51/30)*F51</f>
        <v>2345999.413333333</v>
      </c>
      <c r="V51" s="451">
        <f>+H51*0.03</f>
        <v>146218.8</v>
      </c>
      <c r="W51" s="451">
        <f>+H51*0.02</f>
        <v>97479.2</v>
      </c>
      <c r="X51" s="451">
        <f>+((V51+W51)/30*F51)</f>
        <v>2932499.2666666666</v>
      </c>
      <c r="Y51" s="451">
        <f>K51+L51+M51+N51+O51+S51+U51+X51</f>
        <v>104874991.93010667</v>
      </c>
      <c r="Z51" s="451">
        <f>+Y51/12</f>
        <v>8739582.660842223</v>
      </c>
      <c r="AA51" s="903"/>
      <c r="AB51" s="453"/>
      <c r="AC51" s="443"/>
      <c r="AD51" s="426"/>
      <c r="AE51" s="426"/>
      <c r="AF51" s="426"/>
      <c r="AG51" s="426"/>
    </row>
    <row r="52" spans="1:57" ht="14.25">
      <c r="A52" s="582" t="s">
        <v>419</v>
      </c>
      <c r="B52" s="448" t="s">
        <v>452</v>
      </c>
      <c r="C52" s="449">
        <v>1</v>
      </c>
      <c r="D52" s="506">
        <v>40544</v>
      </c>
      <c r="E52" s="506">
        <v>40908</v>
      </c>
      <c r="F52" s="505">
        <f>DAYS360(D52,E52,0)+1</f>
        <v>361</v>
      </c>
      <c r="G52" s="451"/>
      <c r="H52" s="593">
        <f>3459437*(1+$C$8)</f>
        <v>3569101.1529</v>
      </c>
      <c r="I52" s="592">
        <v>0</v>
      </c>
      <c r="J52" s="592">
        <f>+I52+H52</f>
        <v>3569101.1529</v>
      </c>
      <c r="K52" s="451">
        <f>+J52/30*F52</f>
        <v>42948183.87323</v>
      </c>
      <c r="L52" s="451">
        <f>+J52</f>
        <v>3569101.1529</v>
      </c>
      <c r="M52" s="451">
        <f>+L52*12%</f>
        <v>428292.138348</v>
      </c>
      <c r="N52" s="451">
        <f>+L52</f>
        <v>3569101.1529</v>
      </c>
      <c r="O52" s="451">
        <f>+J52/30*15</f>
        <v>1784550.57645</v>
      </c>
      <c r="P52" s="451">
        <f>+H52*0.085</f>
        <v>303373.59799650003</v>
      </c>
      <c r="Q52" s="451">
        <f>+H52*12%</f>
        <v>428292.138348</v>
      </c>
      <c r="R52" s="451">
        <f>+H52*0.522%</f>
        <v>18630.708018138</v>
      </c>
      <c r="S52" s="451">
        <f>+((P52+Q52+R52)/30*F52)</f>
        <v>9028567.21383041</v>
      </c>
      <c r="T52" s="451">
        <f>+H52*0.04</f>
        <v>142764.046116</v>
      </c>
      <c r="U52" s="451">
        <f>+(T52/30)*F52</f>
        <v>1717927.3549292</v>
      </c>
      <c r="V52" s="451">
        <f>+H52*0.03</f>
        <v>107073.034587</v>
      </c>
      <c r="W52" s="451">
        <f>+H52*0.02</f>
        <v>71382.023058</v>
      </c>
      <c r="X52" s="451">
        <f>+((V52+W52)/30*F52)</f>
        <v>2147409.1936615002</v>
      </c>
      <c r="Y52" s="451">
        <f>K52+L52+M52+N52+O52+S52+U52+X52</f>
        <v>65193132.65624912</v>
      </c>
      <c r="Z52" s="451">
        <f>+Y52/12</f>
        <v>5432761.054687426</v>
      </c>
      <c r="AA52" s="906"/>
      <c r="AB52" s="608"/>
      <c r="AC52" s="45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row>
    <row r="53" spans="1:57" ht="14.25">
      <c r="A53" s="582" t="s">
        <v>421</v>
      </c>
      <c r="B53" s="448" t="s">
        <v>448</v>
      </c>
      <c r="C53" s="449">
        <v>1</v>
      </c>
      <c r="D53" s="506">
        <v>40544</v>
      </c>
      <c r="E53" s="506">
        <v>40908</v>
      </c>
      <c r="F53" s="505">
        <f>DAYS360(D53,E53,0)+1</f>
        <v>361</v>
      </c>
      <c r="G53" s="451"/>
      <c r="H53" s="592">
        <f>2799970*(1+$C$8)</f>
        <v>2888729.049</v>
      </c>
      <c r="I53" s="592"/>
      <c r="J53" s="592">
        <f>+I53+H53</f>
        <v>2888729.049</v>
      </c>
      <c r="K53" s="451">
        <f>+J53/30*F53</f>
        <v>34761039.5563</v>
      </c>
      <c r="L53" s="451">
        <f>+J53</f>
        <v>2888729.049</v>
      </c>
      <c r="M53" s="451">
        <f>+L53*12%</f>
        <v>346647.48588</v>
      </c>
      <c r="N53" s="451">
        <f>+L53</f>
        <v>2888729.049</v>
      </c>
      <c r="O53" s="451">
        <f>+J53/30*15</f>
        <v>1444364.5245</v>
      </c>
      <c r="P53" s="451">
        <f>+H53*0.085</f>
        <v>245541.96916500002</v>
      </c>
      <c r="Q53" s="451">
        <f>+H53*12%</f>
        <v>346647.48588</v>
      </c>
      <c r="R53" s="451">
        <f>+H53*0.522%</f>
        <v>15079.16563578</v>
      </c>
      <c r="S53" s="451">
        <f>+((P53+Q53+R53)/30*F53)</f>
        <v>7307465.7355253855</v>
      </c>
      <c r="T53" s="451">
        <f>+H53*0.04</f>
        <v>115549.16196000001</v>
      </c>
      <c r="U53" s="451">
        <f>+(T53/30)*F53</f>
        <v>1390441.5822520002</v>
      </c>
      <c r="V53" s="451">
        <f>+H53*0.03</f>
        <v>86661.87147</v>
      </c>
      <c r="W53" s="451">
        <f>+H53*0.02</f>
        <v>57774.580980000006</v>
      </c>
      <c r="X53" s="451">
        <f>+((V53+W53)/30*F53)</f>
        <v>1738051.977815</v>
      </c>
      <c r="Y53" s="451">
        <f>K53+L53+M53+N53+O53+S53+U53+X53</f>
        <v>52765468.960272394</v>
      </c>
      <c r="Z53" s="451">
        <f>+Y53/12</f>
        <v>4397122.413356033</v>
      </c>
      <c r="AA53" s="906"/>
      <c r="AB53" s="443"/>
      <c r="AC53" s="535"/>
      <c r="AD53" s="552"/>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row>
    <row r="54" spans="1:33" ht="14.25">
      <c r="A54" s="587" t="s">
        <v>643</v>
      </c>
      <c r="B54" s="554" t="s">
        <v>444</v>
      </c>
      <c r="C54" s="449">
        <v>1</v>
      </c>
      <c r="D54" s="506">
        <v>40544</v>
      </c>
      <c r="E54" s="506">
        <v>40908</v>
      </c>
      <c r="F54" s="505">
        <f>DAYS360(D54,E54,0)+1</f>
        <v>361</v>
      </c>
      <c r="G54" s="451"/>
      <c r="H54" s="593">
        <f>1256612*(1+$C$8)</f>
        <v>1296446.6004</v>
      </c>
      <c r="I54" s="592">
        <v>0</v>
      </c>
      <c r="J54" s="592">
        <f>+I54+H54</f>
        <v>1296446.6004</v>
      </c>
      <c r="K54" s="451">
        <f>+J54/30*F54</f>
        <v>15600574.091480002</v>
      </c>
      <c r="L54" s="451">
        <f>+J54</f>
        <v>1296446.6004</v>
      </c>
      <c r="M54" s="451">
        <f>+L54*12%</f>
        <v>155573.59204800002</v>
      </c>
      <c r="N54" s="451">
        <f>+L54</f>
        <v>1296446.6004</v>
      </c>
      <c r="O54" s="451">
        <f>+J54/30*15</f>
        <v>648223.3002</v>
      </c>
      <c r="P54" s="451">
        <f>+H54*0.085</f>
        <v>110197.96103400002</v>
      </c>
      <c r="Q54" s="451">
        <f>+H54*12%</f>
        <v>155573.59204800002</v>
      </c>
      <c r="R54" s="451">
        <f>+H54*0.522%</f>
        <v>6767.4512540880005</v>
      </c>
      <c r="S54" s="451">
        <f>+((P54+Q54+R54)/30*F54)</f>
        <v>3279552.6855109264</v>
      </c>
      <c r="T54" s="451">
        <f>+H54*0.04</f>
        <v>51857.86401600001</v>
      </c>
      <c r="U54" s="451">
        <f>+(T54/30)*F54</f>
        <v>624022.9636592001</v>
      </c>
      <c r="V54" s="451">
        <f>+H54*0.03</f>
        <v>38893.398012000005</v>
      </c>
      <c r="W54" s="451">
        <f>+H54*0.02</f>
        <v>25928.932008000003</v>
      </c>
      <c r="X54" s="451">
        <f>+((V54+W54)/30*F54)</f>
        <v>780028.7045740002</v>
      </c>
      <c r="Y54" s="451">
        <f>K54+L54+M54+N54+O54+S54+U54+X54</f>
        <v>23680868.53827213</v>
      </c>
      <c r="Z54" s="451">
        <f>+Y54/12</f>
        <v>1973405.7115226777</v>
      </c>
      <c r="AA54" s="903"/>
      <c r="AB54" s="452"/>
      <c r="AC54" s="443"/>
      <c r="AD54" s="426"/>
      <c r="AE54" s="426"/>
      <c r="AF54" s="426"/>
      <c r="AG54" s="426"/>
    </row>
    <row r="55" spans="1:57" ht="14.25">
      <c r="A55" s="448" t="s">
        <v>18</v>
      </c>
      <c r="B55" s="448" t="s">
        <v>445</v>
      </c>
      <c r="C55" s="449">
        <v>1</v>
      </c>
      <c r="D55" s="506">
        <v>40544</v>
      </c>
      <c r="E55" s="506">
        <v>40908</v>
      </c>
      <c r="F55" s="505">
        <f>DAYS360(D55,E55,0)+1</f>
        <v>361</v>
      </c>
      <c r="G55" s="449"/>
      <c r="H55" s="592">
        <f>707222*(1+$C$8)</f>
        <v>729640.9374</v>
      </c>
      <c r="I55" s="592">
        <f>+E8</f>
        <v>63600</v>
      </c>
      <c r="J55" s="592">
        <f>+I55+H55</f>
        <v>793240.9374</v>
      </c>
      <c r="K55" s="451">
        <f>+J55/30*F55</f>
        <v>9545332.61338</v>
      </c>
      <c r="L55" s="451">
        <f>+J55</f>
        <v>793240.9374</v>
      </c>
      <c r="M55" s="451">
        <f>+L55*12%</f>
        <v>95188.912488</v>
      </c>
      <c r="N55" s="451">
        <f>+L55</f>
        <v>793240.9374</v>
      </c>
      <c r="O55" s="451">
        <f>+J55/30*15</f>
        <v>396620.4687</v>
      </c>
      <c r="P55" s="451">
        <f>+H55*0.085</f>
        <v>62019.47967900001</v>
      </c>
      <c r="Q55" s="451">
        <f>+H55*12%</f>
        <v>87556.912488</v>
      </c>
      <c r="R55" s="451">
        <f>+H55*0.522%</f>
        <v>3808.725693228</v>
      </c>
      <c r="S55" s="451">
        <f>+((P55+Q55+R55)/30*F55)</f>
        <v>1845734.2515847438</v>
      </c>
      <c r="T55" s="451">
        <f>+H55*0.04</f>
        <v>29185.637496000003</v>
      </c>
      <c r="U55" s="451">
        <f>+(T55/30)*F55</f>
        <v>351200.5045352</v>
      </c>
      <c r="V55" s="451">
        <f>+H55*0.03</f>
        <v>21889.228122</v>
      </c>
      <c r="W55" s="451">
        <f>+H55*0.02</f>
        <v>14592.818748000002</v>
      </c>
      <c r="X55" s="451">
        <f>+((V55+W55)/30*F55)</f>
        <v>439000.6306690001</v>
      </c>
      <c r="Y55" s="451">
        <f>K55+L55+M55+N55+O55+S55+U55+X55</f>
        <v>14259559.256156944</v>
      </c>
      <c r="Z55" s="451">
        <f>+Y55/12</f>
        <v>1188296.6046797454</v>
      </c>
      <c r="AA55" s="906"/>
      <c r="AB55" s="443"/>
      <c r="AC55" s="441"/>
      <c r="AD55" s="552"/>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row>
    <row r="56" spans="1:57" ht="12.75">
      <c r="A56" s="459"/>
      <c r="B56" s="459"/>
      <c r="C56" s="460"/>
      <c r="D56" s="460"/>
      <c r="E56" s="460"/>
      <c r="F56" s="460"/>
      <c r="G56" s="460"/>
      <c r="H56" s="1281"/>
      <c r="I56" s="460"/>
      <c r="J56" s="460"/>
      <c r="K56" s="460"/>
      <c r="L56" s="461"/>
      <c r="M56" s="461"/>
      <c r="N56" s="461"/>
      <c r="O56" s="461"/>
      <c r="P56" s="461"/>
      <c r="Q56" s="461"/>
      <c r="R56" s="461"/>
      <c r="S56" s="461"/>
      <c r="T56" s="461"/>
      <c r="U56" s="461"/>
      <c r="V56" s="461"/>
      <c r="W56" s="461"/>
      <c r="X56" s="461"/>
      <c r="Y56" s="461"/>
      <c r="Z56" s="461"/>
      <c r="AA56" s="906"/>
      <c r="AB56" s="443"/>
      <c r="AC56" s="441"/>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row>
    <row r="57" spans="1:57" ht="12.75">
      <c r="A57" s="459"/>
      <c r="B57" s="459"/>
      <c r="C57" s="460"/>
      <c r="D57" s="460"/>
      <c r="E57" s="460"/>
      <c r="F57" s="460"/>
      <c r="G57" s="460"/>
      <c r="H57" s="1281"/>
      <c r="I57" s="460"/>
      <c r="J57" s="460"/>
      <c r="K57" s="460"/>
      <c r="L57" s="461"/>
      <c r="M57" s="461"/>
      <c r="N57" s="461"/>
      <c r="O57" s="461"/>
      <c r="P57" s="461"/>
      <c r="Q57" s="461"/>
      <c r="R57" s="461"/>
      <c r="S57" s="461"/>
      <c r="T57" s="461"/>
      <c r="U57" s="461"/>
      <c r="V57" s="461"/>
      <c r="W57" s="461"/>
      <c r="X57" s="461"/>
      <c r="Y57" s="461"/>
      <c r="Z57" s="461"/>
      <c r="AA57" s="906"/>
      <c r="AB57" s="443"/>
      <c r="AC57" s="441"/>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row>
    <row r="58" spans="1:57" ht="15.75">
      <c r="A58" s="487" t="s">
        <v>28</v>
      </c>
      <c r="B58" s="487" t="s">
        <v>443</v>
      </c>
      <c r="C58" s="439"/>
      <c r="D58" s="439"/>
      <c r="E58" s="439"/>
      <c r="F58" s="439"/>
      <c r="G58" s="441"/>
      <c r="H58" s="930"/>
      <c r="I58" s="441"/>
      <c r="J58" s="441"/>
      <c r="K58" s="441"/>
      <c r="L58" s="388"/>
      <c r="M58" s="388"/>
      <c r="N58" s="388"/>
      <c r="O58" s="388"/>
      <c r="P58" s="388"/>
      <c r="Q58" s="388"/>
      <c r="R58" s="388"/>
      <c r="S58" s="388"/>
      <c r="T58" s="388"/>
      <c r="U58" s="388"/>
      <c r="V58" s="388"/>
      <c r="W58" s="388"/>
      <c r="X58" s="388"/>
      <c r="Y58" s="454">
        <f>+Y59</f>
        <v>262352153.86158887</v>
      </c>
      <c r="Z58" s="388"/>
      <c r="AA58" s="907"/>
      <c r="AB58" s="443"/>
      <c r="AC58" s="441"/>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row>
    <row r="59" spans="1:57" ht="12.75">
      <c r="A59" s="492" t="str">
        <f>+GASTOS!A107</f>
        <v>PRODUCTIVIDAD DE EMPRESA</v>
      </c>
      <c r="B59" s="492"/>
      <c r="C59" s="457">
        <f>SUM(C60:C65)</f>
        <v>5</v>
      </c>
      <c r="D59" s="457"/>
      <c r="E59" s="457"/>
      <c r="F59" s="457"/>
      <c r="G59" s="493">
        <f>SUM(G61:G66)</f>
        <v>0</v>
      </c>
      <c r="H59" s="914">
        <f>SUM(H60:H65)</f>
        <v>13591046.0665</v>
      </c>
      <c r="I59" s="914">
        <f aca="true" t="shared" si="40" ref="I59:Y59">SUM(I60:I65)</f>
        <v>63600</v>
      </c>
      <c r="J59" s="914">
        <f t="shared" si="40"/>
        <v>15743486.0665</v>
      </c>
      <c r="K59" s="494">
        <f t="shared" si="40"/>
        <v>187384721.81132334</v>
      </c>
      <c r="L59" s="494">
        <f t="shared" si="40"/>
        <v>8780686.066499999</v>
      </c>
      <c r="M59" s="494">
        <f t="shared" si="40"/>
        <v>1053682.32798</v>
      </c>
      <c r="N59" s="494">
        <f t="shared" si="40"/>
        <v>8780686.066499999</v>
      </c>
      <c r="O59" s="494">
        <f t="shared" si="40"/>
        <v>7871743.03325</v>
      </c>
      <c r="P59" s="494">
        <f t="shared" si="40"/>
        <v>1155238.9156525002</v>
      </c>
      <c r="Q59" s="494">
        <f t="shared" si="40"/>
        <v>1630925.5279799998</v>
      </c>
      <c r="R59" s="494">
        <f t="shared" si="40"/>
        <v>70945.26046713</v>
      </c>
      <c r="S59" s="494">
        <f t="shared" si="40"/>
        <v>33947102.11301639</v>
      </c>
      <c r="T59" s="494">
        <f t="shared" si="40"/>
        <v>543641.84266</v>
      </c>
      <c r="U59" s="494">
        <f t="shared" si="40"/>
        <v>6459347.752452933</v>
      </c>
      <c r="V59" s="494">
        <f t="shared" si="40"/>
        <v>407731.38199499995</v>
      </c>
      <c r="W59" s="494">
        <f t="shared" si="40"/>
        <v>271820.92133</v>
      </c>
      <c r="X59" s="494">
        <f t="shared" si="40"/>
        <v>8074184.690566167</v>
      </c>
      <c r="Y59" s="494">
        <f t="shared" si="40"/>
        <v>262352153.86158887</v>
      </c>
      <c r="Z59" s="494">
        <f>SUM(Z61:Z65)</f>
        <v>13123096.827623513</v>
      </c>
      <c r="AA59" s="905"/>
      <c r="AB59" s="443"/>
      <c r="AC59" s="441"/>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row>
    <row r="60" spans="1:57" ht="14.25">
      <c r="A60" s="574" t="s">
        <v>544</v>
      </c>
      <c r="B60" s="448" t="s">
        <v>451</v>
      </c>
      <c r="C60" s="449">
        <v>1</v>
      </c>
      <c r="D60" s="506">
        <v>40544</v>
      </c>
      <c r="E60" s="506">
        <v>40908</v>
      </c>
      <c r="F60" s="505">
        <f>DAYS360(D60,E60,0)+1</f>
        <v>361</v>
      </c>
      <c r="G60" s="451">
        <f>+$E$7*13</f>
        <v>6962800</v>
      </c>
      <c r="H60" s="592">
        <f>+G60*70%</f>
        <v>4873960</v>
      </c>
      <c r="I60" s="592">
        <v>0</v>
      </c>
      <c r="J60" s="592">
        <f>G60</f>
        <v>6962800</v>
      </c>
      <c r="K60" s="451">
        <f>+J60/30*F60</f>
        <v>83785693.33333334</v>
      </c>
      <c r="L60" s="451">
        <v>0</v>
      </c>
      <c r="M60" s="451">
        <f>+L60*12%</f>
        <v>0</v>
      </c>
      <c r="N60" s="451">
        <v>0</v>
      </c>
      <c r="O60" s="451">
        <f>+J60/30*15</f>
        <v>3481400</v>
      </c>
      <c r="P60" s="451">
        <f>+H60*0.085</f>
        <v>414286.60000000003</v>
      </c>
      <c r="Q60" s="451">
        <f>+H60*12%</f>
        <v>584875.2</v>
      </c>
      <c r="R60" s="451">
        <f>+H60*0.522%</f>
        <v>25442.0712</v>
      </c>
      <c r="S60" s="451">
        <f>+((P60+Q60+R60)/30*F60)</f>
        <v>12329399.916773334</v>
      </c>
      <c r="T60" s="451">
        <f>+H60*0.04</f>
        <v>194958.4</v>
      </c>
      <c r="U60" s="451">
        <f>+(T60/30)*F60</f>
        <v>2345999.413333333</v>
      </c>
      <c r="V60" s="451">
        <f>+H60*0.03</f>
        <v>146218.8</v>
      </c>
      <c r="W60" s="451">
        <f>+H60*0.02</f>
        <v>97479.2</v>
      </c>
      <c r="X60" s="451">
        <f>+((V60+W60)/30*F60)</f>
        <v>2932499.2666666666</v>
      </c>
      <c r="Y60" s="451">
        <f>K60+L60+M60+N60+O60+S60+U60+X60</f>
        <v>104874991.93010667</v>
      </c>
      <c r="Z60" s="451">
        <f>+Y60/12</f>
        <v>8739582.660842223</v>
      </c>
      <c r="AA60" s="905"/>
      <c r="AB60" s="443"/>
      <c r="AC60" s="441"/>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row>
    <row r="61" spans="1:57" ht="14.25">
      <c r="A61" s="448" t="s">
        <v>403</v>
      </c>
      <c r="B61" s="448" t="s">
        <v>452</v>
      </c>
      <c r="C61" s="449">
        <v>1</v>
      </c>
      <c r="D61" s="506">
        <v>40544</v>
      </c>
      <c r="E61" s="506">
        <v>40908</v>
      </c>
      <c r="F61" s="505">
        <f>DAYS360(D61,E61,0)+1</f>
        <v>361</v>
      </c>
      <c r="G61" s="451"/>
      <c r="H61" s="593">
        <f>3459437*(1+$C$8)</f>
        <v>3569101.1529</v>
      </c>
      <c r="I61" s="592">
        <v>0</v>
      </c>
      <c r="J61" s="592">
        <f>+I61+H61</f>
        <v>3569101.1529</v>
      </c>
      <c r="K61" s="451">
        <f>+J61/30*F61</f>
        <v>42948183.87323</v>
      </c>
      <c r="L61" s="451">
        <f>+J61</f>
        <v>3569101.1529</v>
      </c>
      <c r="M61" s="451">
        <f>+L61*12%</f>
        <v>428292.138348</v>
      </c>
      <c r="N61" s="451">
        <f>+L61</f>
        <v>3569101.1529</v>
      </c>
      <c r="O61" s="451">
        <f>+J61/30*15</f>
        <v>1784550.57645</v>
      </c>
      <c r="P61" s="451">
        <f>+H61*0.085</f>
        <v>303373.59799650003</v>
      </c>
      <c r="Q61" s="451">
        <f>+H61*12%</f>
        <v>428292.138348</v>
      </c>
      <c r="R61" s="451">
        <f>+H61*0.522%</f>
        <v>18630.708018138</v>
      </c>
      <c r="S61" s="451">
        <f>+((P61+Q61+R61)/30*F61)</f>
        <v>9028567.21383041</v>
      </c>
      <c r="T61" s="451">
        <f>+H61*0.04</f>
        <v>142764.046116</v>
      </c>
      <c r="U61" s="451">
        <f>+(T61/30)*F61</f>
        <v>1717927.3549292</v>
      </c>
      <c r="V61" s="451">
        <f>+H61*0.03</f>
        <v>107073.034587</v>
      </c>
      <c r="W61" s="451">
        <f>+H61*0.02</f>
        <v>71382.023058</v>
      </c>
      <c r="X61" s="451">
        <f>+((V61+W61)/30*F61)</f>
        <v>2147409.1936615002</v>
      </c>
      <c r="Y61" s="451">
        <f>K61+L61+M61+N61+O61+S61+U61+X61</f>
        <v>65193132.65624912</v>
      </c>
      <c r="Z61" s="451">
        <f>+Y61/12</f>
        <v>5432761.054687426</v>
      </c>
      <c r="AA61" s="906"/>
      <c r="AB61" s="609"/>
      <c r="AC61" s="441"/>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row>
    <row r="62" spans="1:57" ht="14.25">
      <c r="A62" s="448" t="s">
        <v>436</v>
      </c>
      <c r="B62" s="448" t="s">
        <v>448</v>
      </c>
      <c r="C62" s="449">
        <v>1</v>
      </c>
      <c r="D62" s="506">
        <v>40558</v>
      </c>
      <c r="E62" s="506">
        <v>40908</v>
      </c>
      <c r="F62" s="505">
        <f>DAYS360(D62,E62,0)+1</f>
        <v>347</v>
      </c>
      <c r="G62" s="451"/>
      <c r="H62" s="592">
        <f>2799970*(1+$C$8)</f>
        <v>2888729.049</v>
      </c>
      <c r="I62" s="592"/>
      <c r="J62" s="592">
        <f>+I62+H62</f>
        <v>2888729.049</v>
      </c>
      <c r="K62" s="451">
        <f>+J62/30*F62</f>
        <v>33412966.0001</v>
      </c>
      <c r="L62" s="451">
        <f>+J62</f>
        <v>2888729.049</v>
      </c>
      <c r="M62" s="451">
        <f>+L62*12%</f>
        <v>346647.48588</v>
      </c>
      <c r="N62" s="451">
        <f>+L62</f>
        <v>2888729.049</v>
      </c>
      <c r="O62" s="451">
        <f>+J62/30*15</f>
        <v>1444364.5245</v>
      </c>
      <c r="P62" s="451">
        <f>+H62*0.085</f>
        <v>245541.96916500002</v>
      </c>
      <c r="Q62" s="451">
        <f>+H62*12%</f>
        <v>346647.48588</v>
      </c>
      <c r="R62" s="451">
        <f>+H62*0.522%</f>
        <v>15079.16563578</v>
      </c>
      <c r="S62" s="451">
        <f>+((P62+Q62+R62)/30*F62)</f>
        <v>7024073.712541021</v>
      </c>
      <c r="T62" s="451">
        <f>+H62*0.04</f>
        <v>115549.16196000001</v>
      </c>
      <c r="U62" s="451">
        <f>+(T62/30)*F62</f>
        <v>1336518.6400040002</v>
      </c>
      <c r="V62" s="451">
        <f>+H62*0.03</f>
        <v>86661.87147</v>
      </c>
      <c r="W62" s="451">
        <f>+H62*0.02</f>
        <v>57774.580980000006</v>
      </c>
      <c r="X62" s="451">
        <f>+((V62+W62)/30*F62)</f>
        <v>1670648.300005</v>
      </c>
      <c r="Y62" s="451">
        <f>K62+L62+M62+N62+O62+S62+U62+X62</f>
        <v>51012676.76103003</v>
      </c>
      <c r="Z62" s="451">
        <f>+Y62/12</f>
        <v>4251056.396752503</v>
      </c>
      <c r="AA62" s="906"/>
      <c r="AB62" s="609"/>
      <c r="AC62" s="441"/>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row>
    <row r="63" spans="1:57" ht="14.25">
      <c r="A63" s="554" t="s">
        <v>674</v>
      </c>
      <c r="B63" s="448" t="s">
        <v>449</v>
      </c>
      <c r="C63" s="449">
        <v>1</v>
      </c>
      <c r="D63" s="506">
        <v>40558</v>
      </c>
      <c r="E63" s="506">
        <v>40908</v>
      </c>
      <c r="F63" s="505">
        <f>DAYS360(D63,E63,0)+1</f>
        <v>347</v>
      </c>
      <c r="G63" s="451"/>
      <c r="H63" s="592">
        <f>1482616*(1+$C$8)</f>
        <v>1529614.9272</v>
      </c>
      <c r="I63" s="592">
        <v>0</v>
      </c>
      <c r="J63" s="592">
        <f>+I63+H63</f>
        <v>1529614.9272</v>
      </c>
      <c r="K63" s="451">
        <f>+J63/30*F63</f>
        <v>17692545.99128</v>
      </c>
      <c r="L63" s="451">
        <f>+J63</f>
        <v>1529614.9272</v>
      </c>
      <c r="M63" s="451">
        <f>+L63*12%</f>
        <v>183553.791264</v>
      </c>
      <c r="N63" s="451">
        <f>+L63</f>
        <v>1529614.9272</v>
      </c>
      <c r="O63" s="451">
        <f>+J63/30*15</f>
        <v>764807.4636</v>
      </c>
      <c r="P63" s="451">
        <f>+H63*0.085</f>
        <v>130017.26881200001</v>
      </c>
      <c r="Q63" s="451">
        <f>+H63*12%</f>
        <v>183553.791264</v>
      </c>
      <c r="R63" s="451">
        <f>+H63*0.522%</f>
        <v>7984.589919984</v>
      </c>
      <c r="S63" s="451">
        <f>+((P63+Q63+R63)/30*F63)</f>
        <v>3719327.018286881</v>
      </c>
      <c r="T63" s="451">
        <f>+H63*0.04</f>
        <v>61184.597088</v>
      </c>
      <c r="U63" s="451">
        <f>+(T63/30)*F63</f>
        <v>707701.8396512001</v>
      </c>
      <c r="V63" s="451">
        <f>+H63*0.03</f>
        <v>45888.447816</v>
      </c>
      <c r="W63" s="451">
        <f>+H63*0.02</f>
        <v>30592.298544</v>
      </c>
      <c r="X63" s="451">
        <f>+((V63+W63)/30*F63)</f>
        <v>884627.299564</v>
      </c>
      <c r="Y63" s="451">
        <f>K63+L63+M63+N63+O63+S63+U63+X63</f>
        <v>27011793.258046083</v>
      </c>
      <c r="Z63" s="451">
        <f>+Y63/12</f>
        <v>2250982.77150384</v>
      </c>
      <c r="AA63" s="906"/>
      <c r="AB63" s="609"/>
      <c r="AC63" s="441"/>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row>
    <row r="64" spans="1:57" ht="14.25">
      <c r="A64" s="582" t="s">
        <v>18</v>
      </c>
      <c r="B64" s="448" t="s">
        <v>445</v>
      </c>
      <c r="C64" s="449">
        <v>1</v>
      </c>
      <c r="D64" s="506">
        <v>40544</v>
      </c>
      <c r="E64" s="506">
        <v>40908</v>
      </c>
      <c r="F64" s="505">
        <f>DAYS360(D64,E64,0)+1</f>
        <v>361</v>
      </c>
      <c r="G64" s="449"/>
      <c r="H64" s="592">
        <f>707222*(1+$C$8)</f>
        <v>729640.9374</v>
      </c>
      <c r="I64" s="592">
        <f>+E8</f>
        <v>63600</v>
      </c>
      <c r="J64" s="592">
        <f>+I64+H64</f>
        <v>793240.9374</v>
      </c>
      <c r="K64" s="451">
        <f>+J64/30*F64</f>
        <v>9545332.61338</v>
      </c>
      <c r="L64" s="451">
        <f>+J64</f>
        <v>793240.9374</v>
      </c>
      <c r="M64" s="451">
        <f>+L64*12%</f>
        <v>95188.912488</v>
      </c>
      <c r="N64" s="451">
        <f>+L64</f>
        <v>793240.9374</v>
      </c>
      <c r="O64" s="451">
        <f>+J64/30*15</f>
        <v>396620.4687</v>
      </c>
      <c r="P64" s="451">
        <f>+H64*0.085</f>
        <v>62019.47967900001</v>
      </c>
      <c r="Q64" s="451">
        <f>+H64*12%</f>
        <v>87556.912488</v>
      </c>
      <c r="R64" s="451">
        <f>+H64*0.522%</f>
        <v>3808.725693228</v>
      </c>
      <c r="S64" s="451">
        <f>+((P64+Q64+R64)/30*F64)</f>
        <v>1845734.2515847438</v>
      </c>
      <c r="T64" s="451">
        <f>+H64*0.04</f>
        <v>29185.637496000003</v>
      </c>
      <c r="U64" s="451">
        <f>+(T64/30)*F64</f>
        <v>351200.5045352</v>
      </c>
      <c r="V64" s="451">
        <f>+H64*0.03</f>
        <v>21889.228122</v>
      </c>
      <c r="W64" s="451">
        <f>+H64*0.02</f>
        <v>14592.818748000002</v>
      </c>
      <c r="X64" s="451">
        <f>+((V64+W64)/30*F64)</f>
        <v>439000.6306690001</v>
      </c>
      <c r="Y64" s="451">
        <f>K64+L64+M64+N64+O64+S64+U64+X64</f>
        <v>14259559.256156944</v>
      </c>
      <c r="Z64" s="451">
        <f>+Y64/12</f>
        <v>1188296.6046797454</v>
      </c>
      <c r="AA64" s="906"/>
      <c r="AB64" s="609"/>
      <c r="AC64" s="441"/>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row>
    <row r="65" spans="1:57" ht="12.75">
      <c r="A65" s="459"/>
      <c r="B65" s="459"/>
      <c r="C65" s="460"/>
      <c r="D65" s="460"/>
      <c r="E65" s="460"/>
      <c r="F65" s="460"/>
      <c r="G65" s="460"/>
      <c r="H65" s="1281"/>
      <c r="I65" s="460"/>
      <c r="J65" s="460"/>
      <c r="K65" s="461"/>
      <c r="L65" s="461"/>
      <c r="M65" s="461"/>
      <c r="N65" s="461"/>
      <c r="O65" s="461"/>
      <c r="P65" s="461"/>
      <c r="Q65" s="461"/>
      <c r="R65" s="461"/>
      <c r="S65" s="461"/>
      <c r="T65" s="461"/>
      <c r="U65" s="461"/>
      <c r="V65" s="461"/>
      <c r="W65" s="461"/>
      <c r="X65" s="461"/>
      <c r="Y65" s="461"/>
      <c r="Z65" s="461"/>
      <c r="AA65" s="906"/>
      <c r="AB65" s="443"/>
      <c r="AC65" s="441"/>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row>
    <row r="66" spans="1:57" ht="12.75">
      <c r="A66" s="459"/>
      <c r="B66" s="459"/>
      <c r="C66" s="460"/>
      <c r="D66" s="460"/>
      <c r="E66" s="460"/>
      <c r="F66" s="460"/>
      <c r="G66" s="460"/>
      <c r="H66" s="1281"/>
      <c r="I66" s="460"/>
      <c r="J66" s="460"/>
      <c r="K66" s="461"/>
      <c r="L66" s="461"/>
      <c r="M66" s="461"/>
      <c r="N66" s="461"/>
      <c r="O66" s="461"/>
      <c r="P66" s="461"/>
      <c r="Q66" s="461"/>
      <c r="R66" s="461"/>
      <c r="S66" s="461"/>
      <c r="T66" s="461"/>
      <c r="U66" s="461"/>
      <c r="V66" s="461"/>
      <c r="W66" s="461"/>
      <c r="X66" s="461"/>
      <c r="Y66" s="461"/>
      <c r="Z66" s="461"/>
      <c r="AA66" s="906"/>
      <c r="AB66" s="443"/>
      <c r="AC66" s="441"/>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row>
    <row r="67" spans="1:57" ht="12.75">
      <c r="A67" s="459"/>
      <c r="B67" s="459"/>
      <c r="C67" s="460"/>
      <c r="D67" s="460"/>
      <c r="E67" s="460"/>
      <c r="F67" s="460"/>
      <c r="G67" s="460"/>
      <c r="H67" s="1281"/>
      <c r="I67" s="460"/>
      <c r="J67" s="460"/>
      <c r="K67" s="461"/>
      <c r="L67" s="461"/>
      <c r="M67" s="461"/>
      <c r="N67" s="461"/>
      <c r="O67" s="461"/>
      <c r="P67" s="461"/>
      <c r="Q67" s="461"/>
      <c r="R67" s="461"/>
      <c r="S67" s="461"/>
      <c r="T67" s="461"/>
      <c r="U67" s="461"/>
      <c r="V67" s="461"/>
      <c r="W67" s="461"/>
      <c r="X67" s="461"/>
      <c r="Y67" s="461"/>
      <c r="Z67" s="461"/>
      <c r="AA67" s="906"/>
      <c r="AB67" s="443"/>
      <c r="AC67" s="441"/>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row>
    <row r="68" spans="1:57" ht="15.75">
      <c r="A68" s="487" t="s">
        <v>362</v>
      </c>
      <c r="B68" s="487" t="s">
        <v>443</v>
      </c>
      <c r="C68" s="460"/>
      <c r="D68" s="460"/>
      <c r="E68" s="460"/>
      <c r="F68" s="460"/>
      <c r="G68" s="460"/>
      <c r="H68" s="1281"/>
      <c r="I68" s="460"/>
      <c r="J68" s="460"/>
      <c r="K68" s="461"/>
      <c r="L68" s="461"/>
      <c r="M68" s="461"/>
      <c r="N68" s="461"/>
      <c r="O68" s="461"/>
      <c r="P68" s="461"/>
      <c r="Q68" s="461"/>
      <c r="R68" s="461"/>
      <c r="S68" s="461"/>
      <c r="T68" s="461"/>
      <c r="U68" s="461"/>
      <c r="V68" s="461"/>
      <c r="W68" s="461"/>
      <c r="X68" s="461"/>
      <c r="Y68" s="462">
        <f>+Y69</f>
        <v>880558586.6226203</v>
      </c>
      <c r="Z68" s="461"/>
      <c r="AA68" s="906"/>
      <c r="AB68" s="443"/>
      <c r="AC68" s="441"/>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row>
    <row r="69" spans="1:57" ht="12.75">
      <c r="A69" s="488" t="s">
        <v>239</v>
      </c>
      <c r="B69" s="488"/>
      <c r="C69" s="450">
        <f>SUM(C70:C78)</f>
        <v>29</v>
      </c>
      <c r="D69" s="450"/>
      <c r="E69" s="450"/>
      <c r="F69" s="450"/>
      <c r="G69" s="498">
        <f>+G70</f>
        <v>6962800</v>
      </c>
      <c r="H69" s="915">
        <f aca="true" t="shared" si="41" ref="H69:Z69">SUM(H70:H78)</f>
        <v>47060664.089200005</v>
      </c>
      <c r="I69" s="915">
        <f t="shared" si="41"/>
        <v>190800</v>
      </c>
      <c r="J69" s="915">
        <f t="shared" si="41"/>
        <v>49340304.089200005</v>
      </c>
      <c r="K69" s="499">
        <f t="shared" si="41"/>
        <v>593728325.8733733</v>
      </c>
      <c r="L69" s="499">
        <f t="shared" si="41"/>
        <v>42377504.089200005</v>
      </c>
      <c r="M69" s="499">
        <f t="shared" si="41"/>
        <v>5085300.490704001</v>
      </c>
      <c r="N69" s="499">
        <f t="shared" si="41"/>
        <v>42377504.089200005</v>
      </c>
      <c r="O69" s="499">
        <f t="shared" si="41"/>
        <v>24670152.044600002</v>
      </c>
      <c r="P69" s="499">
        <f t="shared" si="41"/>
        <v>4000156.4475820004</v>
      </c>
      <c r="Q69" s="499">
        <f t="shared" si="41"/>
        <v>5647279.690704002</v>
      </c>
      <c r="R69" s="499">
        <f t="shared" si="41"/>
        <v>437309.08278928197</v>
      </c>
      <c r="S69" s="499">
        <f t="shared" si="41"/>
        <v>121353100.82693924</v>
      </c>
      <c r="T69" s="499">
        <f t="shared" si="41"/>
        <v>1882426.5635679998</v>
      </c>
      <c r="U69" s="499">
        <f t="shared" si="41"/>
        <v>22651866.31493493</v>
      </c>
      <c r="V69" s="499">
        <f t="shared" si="41"/>
        <v>1411819.9226760005</v>
      </c>
      <c r="W69" s="499">
        <f t="shared" si="41"/>
        <v>941213.2817839999</v>
      </c>
      <c r="X69" s="499">
        <f t="shared" si="41"/>
        <v>28314832.893668674</v>
      </c>
      <c r="Y69" s="499">
        <f t="shared" si="41"/>
        <v>880558586.6226203</v>
      </c>
      <c r="Z69" s="499">
        <f t="shared" si="41"/>
        <v>73379882.2185517</v>
      </c>
      <c r="AA69" s="908"/>
      <c r="AB69" s="443"/>
      <c r="AC69" s="441"/>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row>
    <row r="70" spans="1:57" ht="14.25">
      <c r="A70" s="582" t="s">
        <v>250</v>
      </c>
      <c r="B70" s="448" t="s">
        <v>451</v>
      </c>
      <c r="C70" s="449">
        <v>1</v>
      </c>
      <c r="D70" s="506">
        <v>40544</v>
      </c>
      <c r="E70" s="506">
        <v>40908</v>
      </c>
      <c r="F70" s="505">
        <f aca="true" t="shared" si="42" ref="F70:F76">DAYS360(D70,E70,0)+1</f>
        <v>361</v>
      </c>
      <c r="G70" s="451">
        <f>+$E$7*13</f>
        <v>6962800</v>
      </c>
      <c r="H70" s="592">
        <f>+G70*70%</f>
        <v>4873960</v>
      </c>
      <c r="I70" s="592"/>
      <c r="J70" s="592">
        <f>G70</f>
        <v>6962800</v>
      </c>
      <c r="K70" s="451">
        <f aca="true" t="shared" si="43" ref="K70:K76">+J70/30*F70</f>
        <v>83785693.33333334</v>
      </c>
      <c r="L70" s="451">
        <v>0</v>
      </c>
      <c r="M70" s="451">
        <f aca="true" t="shared" si="44" ref="M70:M78">+L70*12%</f>
        <v>0</v>
      </c>
      <c r="N70" s="451">
        <v>0</v>
      </c>
      <c r="O70" s="451">
        <f aca="true" t="shared" si="45" ref="O70:O78">+J70/30*15</f>
        <v>3481400</v>
      </c>
      <c r="P70" s="451">
        <f aca="true" t="shared" si="46" ref="P70:P76">+H70*0.085</f>
        <v>414286.60000000003</v>
      </c>
      <c r="Q70" s="451">
        <f aca="true" t="shared" si="47" ref="Q70:Q76">+H70*12%</f>
        <v>584875.2</v>
      </c>
      <c r="R70" s="451">
        <f>+H70*0.522%</f>
        <v>25442.0712</v>
      </c>
      <c r="S70" s="451">
        <f aca="true" t="shared" si="48" ref="S70:S76">+((P70+Q70+R70)/30*F70)</f>
        <v>12329399.916773334</v>
      </c>
      <c r="T70" s="451">
        <f aca="true" t="shared" si="49" ref="T70:T76">+H70*0.04</f>
        <v>194958.4</v>
      </c>
      <c r="U70" s="451">
        <f aca="true" t="shared" si="50" ref="U70:U76">+(T70/30)*F70</f>
        <v>2345999.413333333</v>
      </c>
      <c r="V70" s="451">
        <f aca="true" t="shared" si="51" ref="V70:V76">+H70*0.03</f>
        <v>146218.8</v>
      </c>
      <c r="W70" s="451">
        <f aca="true" t="shared" si="52" ref="W70:W76">+H70*0.02</f>
        <v>97479.2</v>
      </c>
      <c r="X70" s="451">
        <f aca="true" t="shared" si="53" ref="X70:X76">+((V70+W70)/30*F70)</f>
        <v>2932499.2666666666</v>
      </c>
      <c r="Y70" s="592">
        <f aca="true" t="shared" si="54" ref="Y70:Y76">K70+L70+M70+N70+O70+S70+U70+X70</f>
        <v>104874991.93010667</v>
      </c>
      <c r="Z70" s="451">
        <f aca="true" t="shared" si="55" ref="Z70:Z78">+Y70/12</f>
        <v>8739582.660842223</v>
      </c>
      <c r="AA70" s="905"/>
      <c r="AB70" s="443"/>
      <c r="AC70" s="441"/>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row>
    <row r="71" spans="1:57" ht="14.25">
      <c r="A71" s="582" t="s">
        <v>25</v>
      </c>
      <c r="B71" s="448" t="s">
        <v>448</v>
      </c>
      <c r="C71" s="456">
        <v>1</v>
      </c>
      <c r="D71" s="506">
        <v>40544</v>
      </c>
      <c r="E71" s="506">
        <v>40908</v>
      </c>
      <c r="F71" s="505">
        <f>DAYS360(D71,E71,0)+1</f>
        <v>361</v>
      </c>
      <c r="G71" s="457"/>
      <c r="H71" s="592">
        <f>2799970*(1+$C$8)</f>
        <v>2888729.049</v>
      </c>
      <c r="I71" s="592"/>
      <c r="J71" s="592">
        <f>+I71+H71</f>
        <v>2888729.049</v>
      </c>
      <c r="K71" s="451">
        <f>+J71/30*F71</f>
        <v>34761039.5563</v>
      </c>
      <c r="L71" s="451">
        <f aca="true" t="shared" si="56" ref="L71:L78">+J71</f>
        <v>2888729.049</v>
      </c>
      <c r="M71" s="451">
        <f t="shared" si="44"/>
        <v>346647.48588</v>
      </c>
      <c r="N71" s="451">
        <f aca="true" t="shared" si="57" ref="N71:N78">+L71</f>
        <v>2888729.049</v>
      </c>
      <c r="O71" s="451">
        <f t="shared" si="45"/>
        <v>1444364.5245</v>
      </c>
      <c r="P71" s="451">
        <f>+H71*0.085</f>
        <v>245541.96916500002</v>
      </c>
      <c r="Q71" s="451">
        <f>+H71*12%</f>
        <v>346647.48588</v>
      </c>
      <c r="R71" s="451">
        <f>+H71*1.044%</f>
        <v>30158.33127156</v>
      </c>
      <c r="S71" s="451">
        <f>+((P71+Q71+R71)/30*F71)</f>
        <v>7488918.362009272</v>
      </c>
      <c r="T71" s="451">
        <f>+H71*0.04</f>
        <v>115549.16196000001</v>
      </c>
      <c r="U71" s="451">
        <f>+(T71/30)*F71</f>
        <v>1390441.5822520002</v>
      </c>
      <c r="V71" s="451">
        <f>+H71*0.03</f>
        <v>86661.87147</v>
      </c>
      <c r="W71" s="451">
        <f>+H71*0.02</f>
        <v>57774.580980000006</v>
      </c>
      <c r="X71" s="451">
        <f>+((V71+W71)/30*F71)</f>
        <v>1738051.977815</v>
      </c>
      <c r="Y71" s="592">
        <f>K71+L71+M71+N71+O71+S71+U71+X71</f>
        <v>52946921.58675628</v>
      </c>
      <c r="Z71" s="451">
        <f t="shared" si="55"/>
        <v>4412243.465563023</v>
      </c>
      <c r="AA71" s="905"/>
      <c r="AB71" s="443"/>
      <c r="AC71" s="441"/>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row>
    <row r="72" spans="1:57" ht="14.25">
      <c r="A72" s="587" t="s">
        <v>644</v>
      </c>
      <c r="B72" s="448" t="s">
        <v>448</v>
      </c>
      <c r="C72" s="456">
        <v>1</v>
      </c>
      <c r="D72" s="506">
        <v>40544</v>
      </c>
      <c r="E72" s="506">
        <v>40908</v>
      </c>
      <c r="F72" s="505">
        <f>DAYS360(D72,E72,0)+1</f>
        <v>361</v>
      </c>
      <c r="G72" s="457"/>
      <c r="H72" s="592">
        <f>2799970*(1+$C$8)</f>
        <v>2888729.049</v>
      </c>
      <c r="I72" s="592"/>
      <c r="J72" s="592">
        <f>+I72+H72</f>
        <v>2888729.049</v>
      </c>
      <c r="K72" s="451">
        <f>+J72/30*F72</f>
        <v>34761039.5563</v>
      </c>
      <c r="L72" s="451">
        <f t="shared" si="56"/>
        <v>2888729.049</v>
      </c>
      <c r="M72" s="451">
        <f t="shared" si="44"/>
        <v>346647.48588</v>
      </c>
      <c r="N72" s="451">
        <f t="shared" si="57"/>
        <v>2888729.049</v>
      </c>
      <c r="O72" s="451">
        <f t="shared" si="45"/>
        <v>1444364.5245</v>
      </c>
      <c r="P72" s="451">
        <f>+H72*0.085</f>
        <v>245541.96916500002</v>
      </c>
      <c r="Q72" s="451">
        <f>+H72*12%</f>
        <v>346647.48588</v>
      </c>
      <c r="R72" s="451">
        <f>+H72*0.522%</f>
        <v>15079.16563578</v>
      </c>
      <c r="S72" s="451">
        <f>+((P72+Q72+R72)/30*F72)</f>
        <v>7307465.7355253855</v>
      </c>
      <c r="T72" s="451">
        <f>+H72*0.04</f>
        <v>115549.16196000001</v>
      </c>
      <c r="U72" s="451">
        <f>+(T72/30)*F72</f>
        <v>1390441.5822520002</v>
      </c>
      <c r="V72" s="451">
        <f>+H72*0.03</f>
        <v>86661.87147</v>
      </c>
      <c r="W72" s="451">
        <f>+H72*0.02</f>
        <v>57774.580980000006</v>
      </c>
      <c r="X72" s="451">
        <f>+((V72+W72)/30*F72)</f>
        <v>1738051.977815</v>
      </c>
      <c r="Y72" s="592">
        <f>K72+L72+M72+N72+O72+S72+U72+X72</f>
        <v>52765468.960272394</v>
      </c>
      <c r="Z72" s="451">
        <f t="shared" si="55"/>
        <v>4397122.413356033</v>
      </c>
      <c r="AA72" s="905"/>
      <c r="AB72" s="443"/>
      <c r="AC72" s="441"/>
      <c r="AD72" s="375"/>
      <c r="AE72" s="375"/>
      <c r="AF72" s="375"/>
      <c r="AG72" s="375"/>
      <c r="AH72" s="375"/>
      <c r="AI72" s="375"/>
      <c r="AJ72" s="375"/>
      <c r="AK72" s="375"/>
      <c r="AL72" s="375"/>
      <c r="AM72" s="375"/>
      <c r="AN72" s="375"/>
      <c r="AO72" s="375"/>
      <c r="AP72" s="375"/>
      <c r="AQ72" s="375"/>
      <c r="AR72" s="375"/>
      <c r="AS72" s="375"/>
      <c r="AT72" s="375"/>
      <c r="AU72" s="375"/>
      <c r="AV72" s="375"/>
      <c r="AW72" s="375"/>
      <c r="AX72" s="375"/>
      <c r="AY72" s="375"/>
      <c r="AZ72" s="375"/>
      <c r="BA72" s="375"/>
      <c r="BB72" s="375"/>
      <c r="BC72" s="375"/>
      <c r="BD72" s="375"/>
      <c r="BE72" s="375"/>
    </row>
    <row r="73" spans="1:57" ht="14.25">
      <c r="A73" s="448" t="s">
        <v>16</v>
      </c>
      <c r="B73" s="448" t="s">
        <v>452</v>
      </c>
      <c r="C73" s="449">
        <v>17</v>
      </c>
      <c r="D73" s="506">
        <v>40544</v>
      </c>
      <c r="E73" s="506">
        <v>40908</v>
      </c>
      <c r="F73" s="505">
        <f t="shared" si="42"/>
        <v>361</v>
      </c>
      <c r="G73" s="449"/>
      <c r="H73" s="592">
        <f>(1507988*(1+$C$8))*C73</f>
        <v>26448450.733200002</v>
      </c>
      <c r="I73" s="592">
        <v>0</v>
      </c>
      <c r="J73" s="592">
        <f>+H73</f>
        <v>26448450.733200002</v>
      </c>
      <c r="K73" s="451">
        <f t="shared" si="43"/>
        <v>318263023.82284003</v>
      </c>
      <c r="L73" s="451">
        <f t="shared" si="56"/>
        <v>26448450.733200002</v>
      </c>
      <c r="M73" s="451">
        <f t="shared" si="44"/>
        <v>3173814.0879840003</v>
      </c>
      <c r="N73" s="451">
        <f t="shared" si="57"/>
        <v>26448450.733200002</v>
      </c>
      <c r="O73" s="451">
        <f t="shared" si="45"/>
        <v>13224225.366600001</v>
      </c>
      <c r="P73" s="451">
        <f t="shared" si="46"/>
        <v>2248118.3123220005</v>
      </c>
      <c r="Q73" s="451">
        <f t="shared" si="47"/>
        <v>3173814.0879840003</v>
      </c>
      <c r="R73" s="451">
        <f>+H73*1.044%</f>
        <v>276121.825654608</v>
      </c>
      <c r="S73" s="451">
        <f t="shared" si="48"/>
        <v>68566585.85239267</v>
      </c>
      <c r="T73" s="451">
        <f t="shared" si="49"/>
        <v>1057938.029328</v>
      </c>
      <c r="U73" s="451">
        <f t="shared" si="50"/>
        <v>12730520.9529136</v>
      </c>
      <c r="V73" s="451">
        <f t="shared" si="51"/>
        <v>793453.5219960001</v>
      </c>
      <c r="W73" s="451">
        <f t="shared" si="52"/>
        <v>528969.014664</v>
      </c>
      <c r="X73" s="451">
        <f t="shared" si="53"/>
        <v>15913151.191142002</v>
      </c>
      <c r="Y73" s="592">
        <f t="shared" si="54"/>
        <v>484768222.74027234</v>
      </c>
      <c r="Z73" s="451">
        <f t="shared" si="55"/>
        <v>40397351.8950227</v>
      </c>
      <c r="AA73" s="906"/>
      <c r="AB73" s="452"/>
      <c r="AC73" s="441"/>
      <c r="AD73" s="375"/>
      <c r="AE73" s="375"/>
      <c r="AF73" s="375"/>
      <c r="AG73" s="375"/>
      <c r="AH73" s="375"/>
      <c r="AI73" s="375"/>
      <c r="AJ73" s="375"/>
      <c r="AK73" s="375"/>
      <c r="AL73" s="375"/>
      <c r="AM73" s="375"/>
      <c r="AN73" s="375"/>
      <c r="AO73" s="375"/>
      <c r="AP73" s="375"/>
      <c r="AQ73" s="375"/>
      <c r="AR73" s="375"/>
      <c r="AS73" s="375"/>
      <c r="AT73" s="375"/>
      <c r="AU73" s="375"/>
      <c r="AV73" s="375"/>
      <c r="AW73" s="375"/>
      <c r="AX73" s="375"/>
      <c r="AY73" s="375"/>
      <c r="AZ73" s="375"/>
      <c r="BA73" s="375"/>
      <c r="BB73" s="375"/>
      <c r="BC73" s="375"/>
      <c r="BD73" s="375"/>
      <c r="BE73" s="375"/>
    </row>
    <row r="74" spans="1:57" ht="14.25">
      <c r="A74" s="448" t="s">
        <v>17</v>
      </c>
      <c r="B74" s="448" t="s">
        <v>453</v>
      </c>
      <c r="C74" s="449">
        <v>5</v>
      </c>
      <c r="D74" s="506">
        <v>40544</v>
      </c>
      <c r="E74" s="506">
        <v>40908</v>
      </c>
      <c r="F74" s="505">
        <f t="shared" si="42"/>
        <v>361</v>
      </c>
      <c r="G74" s="449"/>
      <c r="H74" s="592">
        <f>(1320352*(1+$C$8))*C74</f>
        <v>6811035.792</v>
      </c>
      <c r="I74" s="592"/>
      <c r="J74" s="592">
        <f>+I74+H74</f>
        <v>6811035.792</v>
      </c>
      <c r="K74" s="451">
        <f t="shared" si="43"/>
        <v>81959464.03040001</v>
      </c>
      <c r="L74" s="451">
        <f t="shared" si="56"/>
        <v>6811035.792</v>
      </c>
      <c r="M74" s="451">
        <f t="shared" si="44"/>
        <v>817324.29504</v>
      </c>
      <c r="N74" s="451">
        <f t="shared" si="57"/>
        <v>6811035.792</v>
      </c>
      <c r="O74" s="451">
        <f t="shared" si="45"/>
        <v>3405517.896</v>
      </c>
      <c r="P74" s="451">
        <f t="shared" si="46"/>
        <v>578938.0423200001</v>
      </c>
      <c r="Q74" s="451">
        <f t="shared" si="47"/>
        <v>817324.29504</v>
      </c>
      <c r="R74" s="451">
        <f>+H74*1.044%</f>
        <v>71107.21366848</v>
      </c>
      <c r="S74" s="451">
        <f t="shared" si="48"/>
        <v>17657346.93070938</v>
      </c>
      <c r="T74" s="451">
        <f t="shared" si="49"/>
        <v>272441.43168000004</v>
      </c>
      <c r="U74" s="451">
        <f t="shared" si="50"/>
        <v>3278378.561216001</v>
      </c>
      <c r="V74" s="451">
        <f t="shared" si="51"/>
        <v>204331.07376</v>
      </c>
      <c r="W74" s="451">
        <f t="shared" si="52"/>
        <v>136220.71584000002</v>
      </c>
      <c r="X74" s="451">
        <f t="shared" si="53"/>
        <v>4097973.20152</v>
      </c>
      <c r="Y74" s="592">
        <f t="shared" si="54"/>
        <v>124838076.49888536</v>
      </c>
      <c r="Z74" s="451">
        <f t="shared" si="55"/>
        <v>10403173.04157378</v>
      </c>
      <c r="AA74" s="906"/>
      <c r="AB74" s="443"/>
      <c r="AC74" s="441"/>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row>
    <row r="75" spans="1:57" ht="14.25">
      <c r="A75" s="448" t="s">
        <v>143</v>
      </c>
      <c r="B75" s="448" t="s">
        <v>454</v>
      </c>
      <c r="C75" s="449">
        <v>1</v>
      </c>
      <c r="D75" s="506">
        <v>40544</v>
      </c>
      <c r="E75" s="506">
        <v>40908</v>
      </c>
      <c r="F75" s="505">
        <f t="shared" si="42"/>
        <v>361</v>
      </c>
      <c r="G75" s="449"/>
      <c r="H75" s="593">
        <f>1089145*(1+$C$8)</f>
        <v>1123670.8965</v>
      </c>
      <c r="I75" s="592">
        <v>0</v>
      </c>
      <c r="J75" s="592">
        <f>+I75+H75</f>
        <v>1123670.8965</v>
      </c>
      <c r="K75" s="451">
        <f t="shared" si="43"/>
        <v>13521506.45455</v>
      </c>
      <c r="L75" s="451">
        <f t="shared" si="56"/>
        <v>1123670.8965</v>
      </c>
      <c r="M75" s="451">
        <f t="shared" si="44"/>
        <v>134840.50758</v>
      </c>
      <c r="N75" s="451">
        <f t="shared" si="57"/>
        <v>1123670.8965</v>
      </c>
      <c r="O75" s="451">
        <f t="shared" si="45"/>
        <v>561835.44825</v>
      </c>
      <c r="P75" s="451">
        <f t="shared" si="46"/>
        <v>95512.02620250001</v>
      </c>
      <c r="Q75" s="451">
        <f t="shared" si="47"/>
        <v>134840.50758</v>
      </c>
      <c r="R75" s="451">
        <f>+H75*0.522%</f>
        <v>5865.56207973</v>
      </c>
      <c r="S75" s="451">
        <f t="shared" si="48"/>
        <v>2842491.0868755016</v>
      </c>
      <c r="T75" s="451">
        <f t="shared" si="49"/>
        <v>44946.83586</v>
      </c>
      <c r="U75" s="451">
        <f t="shared" si="50"/>
        <v>540860.258182</v>
      </c>
      <c r="V75" s="451">
        <f t="shared" si="51"/>
        <v>33710.126895</v>
      </c>
      <c r="W75" s="451">
        <f t="shared" si="52"/>
        <v>22473.41793</v>
      </c>
      <c r="X75" s="451">
        <f t="shared" si="53"/>
        <v>676075.3227275</v>
      </c>
      <c r="Y75" s="592">
        <f t="shared" si="54"/>
        <v>20524950.871165004</v>
      </c>
      <c r="Z75" s="451">
        <f t="shared" si="55"/>
        <v>1710412.5725970836</v>
      </c>
      <c r="AA75" s="906"/>
      <c r="AB75" s="443"/>
      <c r="AC75" s="455"/>
      <c r="AD75" s="548"/>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row>
    <row r="76" spans="1:57" ht="14.25">
      <c r="A76" s="587" t="s">
        <v>528</v>
      </c>
      <c r="B76" s="587" t="s">
        <v>445</v>
      </c>
      <c r="C76" s="902">
        <v>1</v>
      </c>
      <c r="D76" s="506">
        <v>40544</v>
      </c>
      <c r="E76" s="506">
        <v>40908</v>
      </c>
      <c r="F76" s="929">
        <f t="shared" si="42"/>
        <v>361</v>
      </c>
      <c r="G76" s="902"/>
      <c r="H76" s="592">
        <f>707222*(1+$C$8)</f>
        <v>729640.9374</v>
      </c>
      <c r="I76" s="592">
        <f>+E8</f>
        <v>63600</v>
      </c>
      <c r="J76" s="593">
        <f>+I76+H76</f>
        <v>793240.9374</v>
      </c>
      <c r="K76" s="593">
        <f t="shared" si="43"/>
        <v>9545332.61338</v>
      </c>
      <c r="L76" s="593">
        <f t="shared" si="56"/>
        <v>793240.9374</v>
      </c>
      <c r="M76" s="556">
        <f t="shared" si="44"/>
        <v>95188.912488</v>
      </c>
      <c r="N76" s="556">
        <f t="shared" si="57"/>
        <v>793240.9374</v>
      </c>
      <c r="O76" s="556">
        <f t="shared" si="45"/>
        <v>396620.4687</v>
      </c>
      <c r="P76" s="556">
        <f t="shared" si="46"/>
        <v>62019.47967900001</v>
      </c>
      <c r="Q76" s="556">
        <f t="shared" si="47"/>
        <v>87556.912488</v>
      </c>
      <c r="R76" s="556">
        <f>+H76*0.522%</f>
        <v>3808.725693228</v>
      </c>
      <c r="S76" s="556">
        <f t="shared" si="48"/>
        <v>1845734.2515847438</v>
      </c>
      <c r="T76" s="556">
        <f t="shared" si="49"/>
        <v>29185.637496000003</v>
      </c>
      <c r="U76" s="556">
        <f t="shared" si="50"/>
        <v>351200.5045352</v>
      </c>
      <c r="V76" s="556">
        <f t="shared" si="51"/>
        <v>21889.228122</v>
      </c>
      <c r="W76" s="556">
        <f t="shared" si="52"/>
        <v>14592.818748000002</v>
      </c>
      <c r="X76" s="556">
        <f t="shared" si="53"/>
        <v>439000.6306690001</v>
      </c>
      <c r="Y76" s="593">
        <f t="shared" si="54"/>
        <v>14259559.256156944</v>
      </c>
      <c r="Z76" s="556">
        <f t="shared" si="55"/>
        <v>1188296.6046797454</v>
      </c>
      <c r="AA76" s="906"/>
      <c r="AB76" s="443"/>
      <c r="AC76" s="441"/>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375"/>
      <c r="BC76" s="375"/>
      <c r="BD76" s="375"/>
      <c r="BE76" s="375"/>
    </row>
    <row r="77" spans="1:57" ht="14.25">
      <c r="A77" s="448" t="s">
        <v>18</v>
      </c>
      <c r="B77" s="448" t="s">
        <v>445</v>
      </c>
      <c r="C77" s="449">
        <v>1</v>
      </c>
      <c r="D77" s="506">
        <v>40544</v>
      </c>
      <c r="E77" s="506">
        <v>40908</v>
      </c>
      <c r="F77" s="505">
        <f>DAYS360(D77,E77,0)+1</f>
        <v>361</v>
      </c>
      <c r="G77" s="449"/>
      <c r="H77" s="592">
        <f>707222*(1+$C$8)</f>
        <v>729640.9374</v>
      </c>
      <c r="I77" s="592">
        <f>+E8</f>
        <v>63600</v>
      </c>
      <c r="J77" s="592">
        <f>+I77+H77</f>
        <v>793240.9374</v>
      </c>
      <c r="K77" s="451">
        <f>+J77/30*F77</f>
        <v>9545332.61338</v>
      </c>
      <c r="L77" s="451">
        <f>+J77</f>
        <v>793240.9374</v>
      </c>
      <c r="M77" s="451">
        <f>+L77*12%</f>
        <v>95188.912488</v>
      </c>
      <c r="N77" s="451">
        <f>+L77</f>
        <v>793240.9374</v>
      </c>
      <c r="O77" s="451">
        <f>+J77/30*15</f>
        <v>396620.4687</v>
      </c>
      <c r="P77" s="451">
        <f>+H77*0.085</f>
        <v>62019.47967900001</v>
      </c>
      <c r="Q77" s="451">
        <f>+H77*12%</f>
        <v>87556.912488</v>
      </c>
      <c r="R77" s="451">
        <f>+H77*0.522%</f>
        <v>3808.725693228</v>
      </c>
      <c r="S77" s="451">
        <f>+((P77+Q77+R77)/30*F77)</f>
        <v>1845734.2515847438</v>
      </c>
      <c r="T77" s="451">
        <f>+H77*0.04</f>
        <v>29185.637496000003</v>
      </c>
      <c r="U77" s="451">
        <f>+(T77/30)*F77</f>
        <v>351200.5045352</v>
      </c>
      <c r="V77" s="451">
        <f>+H77*0.03</f>
        <v>21889.228122</v>
      </c>
      <c r="W77" s="451">
        <f>+H77*0.02</f>
        <v>14592.818748000002</v>
      </c>
      <c r="X77" s="451">
        <f>+((V77+W77)/30*F77)</f>
        <v>439000.6306690001</v>
      </c>
      <c r="Y77" s="592">
        <f>K77+L77+M77+N77+O77+S77+U77+X77</f>
        <v>14259559.256156944</v>
      </c>
      <c r="Z77" s="451">
        <f>+Y77/12</f>
        <v>1188296.6046797454</v>
      </c>
      <c r="AA77" s="906"/>
      <c r="AB77" s="610"/>
      <c r="AC77" s="441"/>
      <c r="AD77" s="375"/>
      <c r="AE77" s="375"/>
      <c r="AF77" s="375"/>
      <c r="AG77" s="375"/>
      <c r="AH77" s="375"/>
      <c r="AI77" s="375"/>
      <c r="AJ77" s="375"/>
      <c r="AK77" s="375"/>
      <c r="AL77" s="375"/>
      <c r="AM77" s="375"/>
      <c r="AN77" s="375"/>
      <c r="AO77" s="375"/>
      <c r="AP77" s="375"/>
      <c r="AQ77" s="375"/>
      <c r="AR77" s="375"/>
      <c r="AS77" s="375"/>
      <c r="AT77" s="375"/>
      <c r="AU77" s="375"/>
      <c r="AV77" s="375"/>
      <c r="AW77" s="375"/>
      <c r="AX77" s="375"/>
      <c r="AY77" s="375"/>
      <c r="AZ77" s="375"/>
      <c r="BA77" s="375"/>
      <c r="BB77" s="375"/>
      <c r="BC77" s="375"/>
      <c r="BD77" s="375"/>
      <c r="BE77" s="375"/>
    </row>
    <row r="78" spans="1:57" ht="14.25">
      <c r="A78" s="554" t="s">
        <v>651</v>
      </c>
      <c r="B78" s="554" t="s">
        <v>652</v>
      </c>
      <c r="C78" s="449">
        <v>1</v>
      </c>
      <c r="D78" s="506">
        <v>40544</v>
      </c>
      <c r="E78" s="506">
        <v>40908</v>
      </c>
      <c r="F78" s="505">
        <f>DAYS360(D78,E78,0)+1</f>
        <v>361</v>
      </c>
      <c r="G78" s="449"/>
      <c r="H78" s="592">
        <f>549391*(1+$C$8)</f>
        <v>566806.6947</v>
      </c>
      <c r="I78" s="592">
        <f>+E8</f>
        <v>63600</v>
      </c>
      <c r="J78" s="592">
        <f>+I78+H78</f>
        <v>630406.6947</v>
      </c>
      <c r="K78" s="451">
        <f>+J78/30*F78</f>
        <v>7585893.89289</v>
      </c>
      <c r="L78" s="451">
        <f t="shared" si="56"/>
        <v>630406.6947</v>
      </c>
      <c r="M78" s="451">
        <f t="shared" si="44"/>
        <v>75648.80336399999</v>
      </c>
      <c r="N78" s="451">
        <f t="shared" si="57"/>
        <v>630406.6947</v>
      </c>
      <c r="O78" s="451">
        <f t="shared" si="45"/>
        <v>315203.34735</v>
      </c>
      <c r="P78" s="451">
        <f>+H78*0.085</f>
        <v>48178.5690495</v>
      </c>
      <c r="Q78" s="451">
        <f>+H78*12%</f>
        <v>68016.80336399999</v>
      </c>
      <c r="R78" s="451">
        <f>+H78*1.044%</f>
        <v>5917.461892668</v>
      </c>
      <c r="S78" s="451">
        <f>+((P78+Q78+R78)/30*F78)</f>
        <v>1469424.4394842214</v>
      </c>
      <c r="T78" s="451">
        <f>+H78*0.04</f>
        <v>22672.267788</v>
      </c>
      <c r="U78" s="451">
        <f>+(T78/30)*F78</f>
        <v>272822.9557156</v>
      </c>
      <c r="V78" s="451">
        <f>+H78*0.03</f>
        <v>17004.200840999998</v>
      </c>
      <c r="W78" s="451">
        <f>+H78*0.02</f>
        <v>11336.133894</v>
      </c>
      <c r="X78" s="451">
        <f>+((V78+W78)/30*F78)</f>
        <v>341028.6946445</v>
      </c>
      <c r="Y78" s="592">
        <f>K78+L78+M78+N78+O78+S78+U78+X78</f>
        <v>11320835.522848321</v>
      </c>
      <c r="Z78" s="451">
        <f t="shared" si="55"/>
        <v>943402.9602373601</v>
      </c>
      <c r="AA78" s="906"/>
      <c r="AB78" s="610"/>
      <c r="AC78" s="441"/>
      <c r="AD78" s="375"/>
      <c r="AE78" s="375"/>
      <c r="AF78" s="375"/>
      <c r="AG78" s="375"/>
      <c r="AH78" s="375"/>
      <c r="AI78" s="375"/>
      <c r="AJ78" s="375"/>
      <c r="AK78" s="375"/>
      <c r="AL78" s="375"/>
      <c r="AM78" s="375"/>
      <c r="AN78" s="375"/>
      <c r="AO78" s="375"/>
      <c r="AP78" s="375"/>
      <c r="AQ78" s="375"/>
      <c r="AR78" s="375"/>
      <c r="AS78" s="375"/>
      <c r="AT78" s="375"/>
      <c r="AU78" s="375"/>
      <c r="AV78" s="375"/>
      <c r="AW78" s="375"/>
      <c r="AX78" s="375"/>
      <c r="AY78" s="375"/>
      <c r="AZ78" s="375"/>
      <c r="BA78" s="375"/>
      <c r="BB78" s="375"/>
      <c r="BC78" s="375"/>
      <c r="BD78" s="375"/>
      <c r="BE78" s="375"/>
    </row>
    <row r="79" spans="1:29" ht="14.25">
      <c r="A79" s="585"/>
      <c r="B79" s="584"/>
      <c r="C79" s="594"/>
      <c r="D79" s="595"/>
      <c r="E79" s="595"/>
      <c r="F79" s="596"/>
      <c r="G79" s="594"/>
      <c r="H79" s="595"/>
      <c r="I79" s="583"/>
      <c r="J79" s="583"/>
      <c r="K79" s="583"/>
      <c r="L79" s="583"/>
      <c r="M79" s="583"/>
      <c r="N79" s="583"/>
      <c r="O79" s="583"/>
      <c r="P79" s="583"/>
      <c r="Q79" s="583"/>
      <c r="R79" s="583"/>
      <c r="S79" s="583"/>
      <c r="T79" s="583"/>
      <c r="U79" s="583"/>
      <c r="V79" s="583"/>
      <c r="W79" s="583"/>
      <c r="X79" s="583"/>
      <c r="Y79" s="464"/>
      <c r="Z79" s="583"/>
      <c r="AA79" s="909"/>
      <c r="AB79" s="443"/>
      <c r="AC79" s="439"/>
    </row>
    <row r="80" spans="1:29" ht="13.5" thickBot="1">
      <c r="A80" s="439"/>
      <c r="B80" s="439"/>
      <c r="C80" s="441"/>
      <c r="D80" s="441"/>
      <c r="E80" s="441"/>
      <c r="F80" s="441"/>
      <c r="G80" s="443"/>
      <c r="H80" s="443"/>
      <c r="I80" s="576"/>
      <c r="J80" s="388"/>
      <c r="K80" s="388"/>
      <c r="L80" s="388"/>
      <c r="M80" s="388"/>
      <c r="N80" s="388"/>
      <c r="O80" s="388"/>
      <c r="P80" s="388"/>
      <c r="Q80" s="388"/>
      <c r="R80" s="388"/>
      <c r="S80" s="388"/>
      <c r="T80" s="388"/>
      <c r="U80" s="388"/>
      <c r="V80" s="388"/>
      <c r="W80" s="388"/>
      <c r="X80" s="388"/>
      <c r="Y80" s="463"/>
      <c r="Z80" s="464"/>
      <c r="AA80" s="909"/>
      <c r="AB80" s="480"/>
      <c r="AC80" s="439"/>
    </row>
    <row r="81" spans="1:29" ht="13.5" thickBot="1">
      <c r="A81" s="579" t="s">
        <v>437</v>
      </c>
      <c r="B81" s="580"/>
      <c r="C81" s="581">
        <f>+C69+C59+C50+C24+C12</f>
        <v>72</v>
      </c>
      <c r="D81" s="581"/>
      <c r="E81" s="581"/>
      <c r="F81" s="581"/>
      <c r="G81" s="581"/>
      <c r="H81" s="577">
        <f>+H69+H59+H50+H24+H12</f>
        <v>131718880.50229998</v>
      </c>
      <c r="I81" s="577">
        <f aca="true" t="shared" si="58" ref="I81:Y81">+I69+I59+I50+I24+I12</f>
        <v>636000</v>
      </c>
      <c r="J81" s="577">
        <f t="shared" si="58"/>
        <v>140710240.5023</v>
      </c>
      <c r="K81" s="577">
        <f t="shared" si="58"/>
        <v>1672103509.1570768</v>
      </c>
      <c r="L81" s="577">
        <f t="shared" si="58"/>
        <v>112055640.5023</v>
      </c>
      <c r="M81" s="577">
        <f t="shared" si="58"/>
        <v>13446676.860276002</v>
      </c>
      <c r="N81" s="577">
        <f t="shared" si="58"/>
        <v>112055640.5023</v>
      </c>
      <c r="O81" s="577">
        <f t="shared" si="58"/>
        <v>69953420.25115</v>
      </c>
      <c r="P81" s="577">
        <f t="shared" si="58"/>
        <v>11194765.842695503</v>
      </c>
      <c r="Q81" s="577">
        <f t="shared" si="58"/>
        <v>15709857.660276005</v>
      </c>
      <c r="R81" s="577">
        <f t="shared" si="58"/>
        <v>982239.7539308759</v>
      </c>
      <c r="S81" s="577">
        <f t="shared" si="58"/>
        <v>332026991.04012406</v>
      </c>
      <c r="T81" s="577">
        <f t="shared" si="58"/>
        <v>5236619.2200919995</v>
      </c>
      <c r="U81" s="577">
        <f t="shared" si="58"/>
        <v>62179771.88628307</v>
      </c>
      <c r="V81" s="577">
        <f t="shared" si="58"/>
        <v>3927464.4150690013</v>
      </c>
      <c r="W81" s="577">
        <f t="shared" si="58"/>
        <v>2618309.6100459998</v>
      </c>
      <c r="X81" s="577">
        <f t="shared" si="58"/>
        <v>77724714.85785384</v>
      </c>
      <c r="Y81" s="578">
        <f t="shared" si="58"/>
        <v>2451546365.0573635</v>
      </c>
      <c r="Z81" s="465"/>
      <c r="AA81" s="909"/>
      <c r="AB81" s="480"/>
      <c r="AC81" s="439"/>
    </row>
    <row r="82" spans="1:29" ht="13.5" thickBot="1">
      <c r="A82" s="439"/>
      <c r="B82" s="439"/>
      <c r="C82" s="439"/>
      <c r="D82" s="439"/>
      <c r="E82" s="439"/>
      <c r="F82" s="439"/>
      <c r="G82" s="439"/>
      <c r="H82" s="388"/>
      <c r="I82" s="486"/>
      <c r="J82" s="388"/>
      <c r="K82" s="388"/>
      <c r="L82" s="458"/>
      <c r="M82" s="458"/>
      <c r="N82" s="458"/>
      <c r="O82" s="458"/>
      <c r="P82" s="458"/>
      <c r="Q82" s="458"/>
      <c r="R82" s="458"/>
      <c r="S82" s="458"/>
      <c r="T82" s="458"/>
      <c r="U82" s="458"/>
      <c r="V82" s="458"/>
      <c r="W82" s="458"/>
      <c r="X82" s="458"/>
      <c r="Y82" s="458"/>
      <c r="Z82" s="439"/>
      <c r="AA82" s="909"/>
      <c r="AB82" s="480"/>
      <c r="AC82" s="439"/>
    </row>
    <row r="83" spans="1:29" ht="13.5" thickBot="1">
      <c r="A83" s="520" t="s">
        <v>240</v>
      </c>
      <c r="B83" s="549"/>
      <c r="C83" s="1404">
        <f>+Y12+Y24+Y50+Y59+Y69</f>
        <v>2451546365.0573635</v>
      </c>
      <c r="D83" s="1404"/>
      <c r="E83" s="1404"/>
      <c r="F83" s="1404"/>
      <c r="G83" s="1404"/>
      <c r="H83" s="1405"/>
      <c r="I83" s="439"/>
      <c r="J83" s="439"/>
      <c r="K83" s="439"/>
      <c r="L83" s="439"/>
      <c r="M83" s="439"/>
      <c r="N83" s="439"/>
      <c r="O83" s="439"/>
      <c r="P83" s="439"/>
      <c r="Q83" s="439"/>
      <c r="R83" s="439"/>
      <c r="S83" s="439"/>
      <c r="T83" s="439"/>
      <c r="U83" s="439"/>
      <c r="V83" s="439"/>
      <c r="W83" s="439"/>
      <c r="X83" s="467"/>
      <c r="Y83" s="467"/>
      <c r="Z83" s="439"/>
      <c r="AA83" s="909"/>
      <c r="AB83" s="480"/>
      <c r="AC83" s="439"/>
    </row>
    <row r="84" spans="1:29" ht="12.75">
      <c r="A84" s="439"/>
      <c r="B84" s="439"/>
      <c r="C84" s="468"/>
      <c r="D84" s="468"/>
      <c r="E84" s="468"/>
      <c r="F84" s="468"/>
      <c r="G84" s="534"/>
      <c r="H84" s="465"/>
      <c r="I84" s="443"/>
      <c r="J84" s="439"/>
      <c r="K84" s="439"/>
      <c r="L84" s="443"/>
      <c r="M84" s="443"/>
      <c r="N84" s="439"/>
      <c r="O84" s="439"/>
      <c r="P84" s="439"/>
      <c r="Q84" s="439"/>
      <c r="R84" s="439"/>
      <c r="S84" s="439"/>
      <c r="T84" s="439"/>
      <c r="U84" s="439"/>
      <c r="V84" s="439"/>
      <c r="W84" s="439"/>
      <c r="X84" s="439"/>
      <c r="Y84" s="439"/>
      <c r="Z84" s="439"/>
      <c r="AA84" s="909"/>
      <c r="AB84" s="480"/>
      <c r="AC84" s="439"/>
    </row>
    <row r="85" spans="1:29" ht="12.75">
      <c r="A85" s="439"/>
      <c r="B85" s="439"/>
      <c r="C85" s="468"/>
      <c r="D85" s="468"/>
      <c r="E85" s="468"/>
      <c r="F85" s="468"/>
      <c r="G85" s="468"/>
      <c r="I85" s="525"/>
      <c r="J85" s="439"/>
      <c r="K85" s="439"/>
      <c r="L85" s="443"/>
      <c r="M85" s="443"/>
      <c r="N85" s="439"/>
      <c r="O85" s="439"/>
      <c r="P85" s="439"/>
      <c r="Q85" s="439"/>
      <c r="R85" s="439"/>
      <c r="S85" s="439"/>
      <c r="T85" s="439"/>
      <c r="U85" s="439"/>
      <c r="V85" s="439"/>
      <c r="W85" s="439"/>
      <c r="X85" s="439"/>
      <c r="Y85" s="439"/>
      <c r="Z85" s="439"/>
      <c r="AA85" s="909"/>
      <c r="AB85" s="480"/>
      <c r="AC85" s="439"/>
    </row>
    <row r="86" spans="1:29" ht="12.75">
      <c r="A86" s="439"/>
      <c r="B86" s="439"/>
      <c r="C86" s="468"/>
      <c r="D86" s="468"/>
      <c r="E86" s="468"/>
      <c r="F86" s="468"/>
      <c r="G86" s="468"/>
      <c r="H86" s="524"/>
      <c r="I86" s="439"/>
      <c r="J86" s="439"/>
      <c r="K86" s="439"/>
      <c r="L86" s="443"/>
      <c r="M86" s="443"/>
      <c r="N86" s="439"/>
      <c r="O86" s="439"/>
      <c r="P86" s="439"/>
      <c r="Q86" s="439"/>
      <c r="R86" s="439"/>
      <c r="S86" s="439"/>
      <c r="T86" s="439"/>
      <c r="U86" s="439"/>
      <c r="V86" s="439"/>
      <c r="W86" s="439"/>
      <c r="X86" s="439"/>
      <c r="Y86" s="439"/>
      <c r="Z86" s="439"/>
      <c r="AA86" s="909"/>
      <c r="AB86" s="480"/>
      <c r="AC86" s="439"/>
    </row>
    <row r="87" spans="1:29" ht="12.75">
      <c r="A87" s="439"/>
      <c r="B87" s="468"/>
      <c r="C87" s="468"/>
      <c r="D87" s="468"/>
      <c r="E87" s="468"/>
      <c r="F87" s="468"/>
      <c r="G87" s="468"/>
      <c r="I87" s="439"/>
      <c r="J87" s="439"/>
      <c r="K87" s="439"/>
      <c r="L87" s="443"/>
      <c r="M87" s="443"/>
      <c r="N87" s="439"/>
      <c r="O87" s="439"/>
      <c r="P87" s="439"/>
      <c r="Q87" s="439"/>
      <c r="R87" s="439"/>
      <c r="S87" s="439"/>
      <c r="T87" s="439"/>
      <c r="U87" s="439"/>
      <c r="V87" s="439"/>
      <c r="W87" s="439"/>
      <c r="X87" s="439"/>
      <c r="Y87" s="439"/>
      <c r="Z87" s="439"/>
      <c r="AA87" s="909"/>
      <c r="AB87" s="480"/>
      <c r="AC87" s="439"/>
    </row>
    <row r="88" spans="1:29" ht="12.75">
      <c r="A88" s="439"/>
      <c r="B88" s="468"/>
      <c r="C88" s="468"/>
      <c r="D88" s="468"/>
      <c r="E88" s="468"/>
      <c r="F88" s="468"/>
      <c r="G88" s="468"/>
      <c r="H88" s="439"/>
      <c r="I88" s="439"/>
      <c r="J88" s="439"/>
      <c r="K88" s="439"/>
      <c r="L88" s="443"/>
      <c r="M88" s="443"/>
      <c r="N88" s="439"/>
      <c r="O88" s="439"/>
      <c r="P88" s="439"/>
      <c r="Q88" s="439"/>
      <c r="R88" s="439"/>
      <c r="S88" s="439"/>
      <c r="T88" s="439"/>
      <c r="U88" s="439"/>
      <c r="V88" s="439"/>
      <c r="W88" s="439"/>
      <c r="X88" s="439"/>
      <c r="Y88" s="439"/>
      <c r="Z88" s="439"/>
      <c r="AA88" s="909"/>
      <c r="AB88" s="480"/>
      <c r="AC88" s="439"/>
    </row>
    <row r="89" spans="1:29" ht="13.5" thickBot="1">
      <c r="A89" s="439"/>
      <c r="B89" s="468"/>
      <c r="C89" s="468"/>
      <c r="D89" s="468"/>
      <c r="E89" s="468"/>
      <c r="F89" s="468"/>
      <c r="G89" s="468"/>
      <c r="H89" s="469"/>
      <c r="I89" s="469"/>
      <c r="J89" s="469"/>
      <c r="K89" s="469"/>
      <c r="L89" s="443"/>
      <c r="M89" s="443"/>
      <c r="N89" s="439"/>
      <c r="O89" s="439"/>
      <c r="P89" s="439"/>
      <c r="Q89" s="439"/>
      <c r="R89" s="439"/>
      <c r="S89" s="439"/>
      <c r="T89" s="439"/>
      <c r="U89" s="439"/>
      <c r="V89" s="439"/>
      <c r="W89" s="439"/>
      <c r="X89" s="439"/>
      <c r="Y89" s="439"/>
      <c r="Z89" s="439"/>
      <c r="AA89" s="909"/>
      <c r="AB89" s="480"/>
      <c r="AC89" s="439"/>
    </row>
    <row r="90" spans="1:29" ht="31.5" customHeight="1" thickBot="1">
      <c r="A90" s="517" t="s">
        <v>438</v>
      </c>
      <c r="B90" s="468"/>
      <c r="C90" s="468"/>
      <c r="D90" s="468"/>
      <c r="E90" s="468"/>
      <c r="F90" s="468"/>
      <c r="G90" s="468"/>
      <c r="H90" s="500" t="s">
        <v>303</v>
      </c>
      <c r="I90" s="470"/>
      <c r="J90" s="500" t="s">
        <v>26</v>
      </c>
      <c r="K90" s="471"/>
      <c r="L90" s="500" t="s">
        <v>11</v>
      </c>
      <c r="M90" s="471"/>
      <c r="N90" s="501" t="s">
        <v>251</v>
      </c>
      <c r="O90" s="441"/>
      <c r="P90" s="500" t="s">
        <v>362</v>
      </c>
      <c r="Q90" s="441"/>
      <c r="R90" s="441"/>
      <c r="S90" s="441"/>
      <c r="T90" s="439"/>
      <c r="U90" s="439"/>
      <c r="V90" s="439"/>
      <c r="W90" s="439"/>
      <c r="X90" s="439"/>
      <c r="Y90" s="439"/>
      <c r="Z90" s="439"/>
      <c r="AA90" s="909"/>
      <c r="AB90" s="480"/>
      <c r="AC90" s="439"/>
    </row>
    <row r="91" spans="1:29" ht="12.75">
      <c r="A91" s="439"/>
      <c r="B91" s="468"/>
      <c r="C91" s="468"/>
      <c r="D91" s="468"/>
      <c r="E91" s="468"/>
      <c r="F91" s="468"/>
      <c r="G91" s="468"/>
      <c r="H91" s="472"/>
      <c r="I91" s="472"/>
      <c r="J91" s="472"/>
      <c r="K91" s="472"/>
      <c r="L91" s="472"/>
      <c r="M91" s="472"/>
      <c r="N91" s="472"/>
      <c r="O91" s="439"/>
      <c r="P91" s="472"/>
      <c r="Q91" s="439"/>
      <c r="R91" s="439"/>
      <c r="S91" s="439"/>
      <c r="T91" s="439"/>
      <c r="U91" s="439"/>
      <c r="V91" s="439"/>
      <c r="W91" s="439"/>
      <c r="X91" s="439"/>
      <c r="Y91" s="439"/>
      <c r="Z91" s="439"/>
      <c r="AA91" s="909"/>
      <c r="AB91" s="480"/>
      <c r="AC91" s="439"/>
    </row>
    <row r="92" spans="1:29" ht="13.5" thickBot="1">
      <c r="A92" s="439"/>
      <c r="B92" s="468"/>
      <c r="C92" s="468"/>
      <c r="D92" s="468"/>
      <c r="E92" s="468"/>
      <c r="F92" s="468"/>
      <c r="G92" s="468"/>
      <c r="H92" s="473" t="s">
        <v>241</v>
      </c>
      <c r="I92" s="474">
        <v>3</v>
      </c>
      <c r="J92" s="473" t="s">
        <v>241</v>
      </c>
      <c r="K92" s="474">
        <v>2</v>
      </c>
      <c r="L92" s="570" t="s">
        <v>241</v>
      </c>
      <c r="M92" s="474">
        <v>1</v>
      </c>
      <c r="N92" s="473" t="s">
        <v>241</v>
      </c>
      <c r="O92" s="474">
        <v>1</v>
      </c>
      <c r="P92" s="473" t="s">
        <v>241</v>
      </c>
      <c r="Q92" s="474">
        <v>3</v>
      </c>
      <c r="R92" s="439"/>
      <c r="S92" s="439"/>
      <c r="T92" s="504"/>
      <c r="U92" s="439"/>
      <c r="V92" s="439"/>
      <c r="W92" s="439"/>
      <c r="X92" s="439"/>
      <c r="Y92" s="439"/>
      <c r="Z92" s="439"/>
      <c r="AA92" s="909"/>
      <c r="AB92" s="480"/>
      <c r="AC92" s="439"/>
    </row>
    <row r="93" spans="1:29" ht="13.5" thickBot="1">
      <c r="A93" s="439"/>
      <c r="B93" s="468"/>
      <c r="C93" s="468"/>
      <c r="D93" s="468"/>
      <c r="E93" s="468"/>
      <c r="F93" s="468"/>
      <c r="G93" s="468"/>
      <c r="H93" s="475" t="s">
        <v>439</v>
      </c>
      <c r="I93" s="558">
        <v>100000</v>
      </c>
      <c r="J93" s="475" t="s">
        <v>439</v>
      </c>
      <c r="K93" s="558">
        <v>100000</v>
      </c>
      <c r="L93" s="475" t="s">
        <v>439</v>
      </c>
      <c r="M93" s="558">
        <v>100000</v>
      </c>
      <c r="N93" s="475" t="s">
        <v>439</v>
      </c>
      <c r="O93" s="558">
        <v>100000</v>
      </c>
      <c r="P93" s="475" t="s">
        <v>439</v>
      </c>
      <c r="Q93" s="558">
        <v>100000</v>
      </c>
      <c r="R93" s="1388" t="s">
        <v>367</v>
      </c>
      <c r="S93" s="1401"/>
      <c r="T93" s="537"/>
      <c r="U93" s="439"/>
      <c r="V93" s="439"/>
      <c r="W93" s="439"/>
      <c r="X93" s="439"/>
      <c r="Y93" s="439"/>
      <c r="Z93" s="439"/>
      <c r="AA93" s="909"/>
      <c r="AB93" s="480"/>
      <c r="AC93" s="439"/>
    </row>
    <row r="94" spans="1:29" ht="12.75">
      <c r="A94" s="439"/>
      <c r="B94" s="468"/>
      <c r="C94" s="468"/>
      <c r="D94" s="468"/>
      <c r="E94" s="468"/>
      <c r="F94" s="468"/>
      <c r="G94" s="468"/>
      <c r="H94" s="476" t="s">
        <v>242</v>
      </c>
      <c r="I94" s="476">
        <v>3</v>
      </c>
      <c r="J94" s="476" t="s">
        <v>242</v>
      </c>
      <c r="K94" s="476">
        <v>3</v>
      </c>
      <c r="L94" s="476" t="s">
        <v>242</v>
      </c>
      <c r="M94" s="476">
        <v>3</v>
      </c>
      <c r="N94" s="476" t="s">
        <v>242</v>
      </c>
      <c r="O94" s="476">
        <v>3</v>
      </c>
      <c r="P94" s="476" t="s">
        <v>242</v>
      </c>
      <c r="Q94" s="507">
        <v>3</v>
      </c>
      <c r="R94" s="1397">
        <f>+Q95+O95+M95+K95+I95</f>
        <v>3000000</v>
      </c>
      <c r="S94" s="1398"/>
      <c r="T94" s="439"/>
      <c r="U94" s="439"/>
      <c r="V94" s="439"/>
      <c r="W94" s="439"/>
      <c r="X94" s="439"/>
      <c r="Y94" s="439"/>
      <c r="Z94" s="439"/>
      <c r="AA94" s="909"/>
      <c r="AB94" s="480"/>
      <c r="AC94" s="439"/>
    </row>
    <row r="95" spans="1:29" ht="13.5" thickBot="1">
      <c r="A95" s="477"/>
      <c r="B95" s="468"/>
      <c r="C95" s="478"/>
      <c r="D95" s="478"/>
      <c r="E95" s="478"/>
      <c r="F95" s="478"/>
      <c r="G95" s="478"/>
      <c r="H95" s="466" t="s">
        <v>109</v>
      </c>
      <c r="I95" s="479">
        <f>+I92*I93*I94</f>
        <v>900000</v>
      </c>
      <c r="J95" s="466" t="s">
        <v>109</v>
      </c>
      <c r="K95" s="479">
        <f>+K92*K93*K94</f>
        <v>600000</v>
      </c>
      <c r="L95" s="466" t="s">
        <v>109</v>
      </c>
      <c r="M95" s="479">
        <f>+M92*M93*M94</f>
        <v>300000</v>
      </c>
      <c r="N95" s="466" t="s">
        <v>109</v>
      </c>
      <c r="O95" s="479">
        <f>+O92*O93*O94</f>
        <v>300000</v>
      </c>
      <c r="P95" s="466" t="s">
        <v>109</v>
      </c>
      <c r="Q95" s="508">
        <f>+Q92*Q93*Q94</f>
        <v>900000</v>
      </c>
      <c r="R95" s="1399"/>
      <c r="S95" s="1400"/>
      <c r="T95" s="537"/>
      <c r="U95" s="439"/>
      <c r="V95" s="439"/>
      <c r="W95" s="439"/>
      <c r="X95" s="439"/>
      <c r="Y95" s="439"/>
      <c r="Z95" s="439"/>
      <c r="AA95" s="909"/>
      <c r="AB95" s="480"/>
      <c r="AC95" s="439"/>
    </row>
    <row r="96" spans="1:29" ht="12.75">
      <c r="A96" s="477"/>
      <c r="B96" s="468"/>
      <c r="C96" s="478"/>
      <c r="D96" s="478"/>
      <c r="E96" s="478"/>
      <c r="F96" s="478"/>
      <c r="G96" s="478"/>
      <c r="H96" s="439"/>
      <c r="I96" s="439"/>
      <c r="J96" s="439"/>
      <c r="K96" s="439"/>
      <c r="L96" s="439"/>
      <c r="M96" s="439"/>
      <c r="N96" s="439"/>
      <c r="O96" s="439"/>
      <c r="P96" s="439"/>
      <c r="Q96" s="439"/>
      <c r="R96" s="439"/>
      <c r="S96" s="439"/>
      <c r="T96" s="439"/>
      <c r="U96" s="439"/>
      <c r="V96" s="439"/>
      <c r="W96" s="439"/>
      <c r="X96" s="439"/>
      <c r="Y96" s="439"/>
      <c r="Z96" s="439"/>
      <c r="AA96" s="910"/>
      <c r="AB96" s="439"/>
      <c r="AC96" s="439"/>
    </row>
    <row r="97" spans="1:29" ht="12.75">
      <c r="A97" s="477"/>
      <c r="B97" s="468"/>
      <c r="C97" s="478"/>
      <c r="D97" s="478"/>
      <c r="E97" s="478"/>
      <c r="F97" s="478"/>
      <c r="G97" s="478"/>
      <c r="H97" s="439"/>
      <c r="I97" s="439"/>
      <c r="J97" s="439"/>
      <c r="K97" s="439"/>
      <c r="L97" s="439"/>
      <c r="M97" s="439"/>
      <c r="N97" s="439"/>
      <c r="O97" s="439"/>
      <c r="P97" s="439"/>
      <c r="Q97" s="439"/>
      <c r="R97" s="439"/>
      <c r="S97" s="439"/>
      <c r="T97" s="439"/>
      <c r="U97" s="439"/>
      <c r="V97" s="439"/>
      <c r="W97" s="439"/>
      <c r="X97" s="439"/>
      <c r="Y97" s="439"/>
      <c r="Z97" s="439"/>
      <c r="AA97" s="910"/>
      <c r="AB97" s="439"/>
      <c r="AC97" s="439"/>
    </row>
    <row r="98" spans="1:29" ht="12.75">
      <c r="A98" s="477"/>
      <c r="B98" s="468"/>
      <c r="C98" s="478"/>
      <c r="D98" s="478"/>
      <c r="E98" s="478"/>
      <c r="F98" s="478"/>
      <c r="G98" s="478"/>
      <c r="H98" s="439"/>
      <c r="I98" s="480"/>
      <c r="J98" s="480"/>
      <c r="K98" s="481"/>
      <c r="L98" s="481"/>
      <c r="M98" s="481"/>
      <c r="N98" s="481"/>
      <c r="O98" s="481"/>
      <c r="P98" s="481"/>
      <c r="Q98" s="481"/>
      <c r="R98" s="480"/>
      <c r="S98" s="480"/>
      <c r="T98" s="480"/>
      <c r="U98" s="480"/>
      <c r="V98" s="480"/>
      <c r="W98" s="480"/>
      <c r="X98" s="480"/>
      <c r="Y98" s="480"/>
      <c r="Z98" s="439"/>
      <c r="AA98" s="910"/>
      <c r="AB98" s="439"/>
      <c r="AC98" s="439"/>
    </row>
    <row r="99" spans="1:29" ht="12.75">
      <c r="A99" s="477"/>
      <c r="B99" s="468"/>
      <c r="C99" s="478"/>
      <c r="D99" s="478"/>
      <c r="E99" s="478"/>
      <c r="F99" s="478"/>
      <c r="G99" s="478"/>
      <c r="H99" s="439"/>
      <c r="I99" s="480"/>
      <c r="J99" s="480"/>
      <c r="K99" s="482"/>
      <c r="L99" s="483"/>
      <c r="M99" s="483"/>
      <c r="N99" s="483"/>
      <c r="O99" s="484"/>
      <c r="P99" s="482"/>
      <c r="Q99" s="483"/>
      <c r="R99" s="484"/>
      <c r="S99" s="482"/>
      <c r="T99" s="480"/>
      <c r="U99" s="480"/>
      <c r="V99" s="480"/>
      <c r="W99" s="480"/>
      <c r="X99" s="480"/>
      <c r="Y99" s="480"/>
      <c r="Z99" s="439"/>
      <c r="AA99" s="910"/>
      <c r="AB99" s="439"/>
      <c r="AC99" s="439"/>
    </row>
    <row r="100" spans="1:29" ht="12.75">
      <c r="A100" s="477"/>
      <c r="B100" s="468"/>
      <c r="C100" s="478"/>
      <c r="D100" s="478"/>
      <c r="E100" s="478"/>
      <c r="F100" s="478"/>
      <c r="G100" s="478"/>
      <c r="H100" s="439"/>
      <c r="I100" s="480"/>
      <c r="J100" s="480"/>
      <c r="K100" s="482"/>
      <c r="L100" s="483"/>
      <c r="M100" s="480"/>
      <c r="N100" s="483"/>
      <c r="O100" s="484"/>
      <c r="P100" s="482"/>
      <c r="Q100" s="483"/>
      <c r="R100" s="484"/>
      <c r="S100" s="480"/>
      <c r="T100" s="480"/>
      <c r="U100" s="480"/>
      <c r="V100" s="480"/>
      <c r="W100" s="480"/>
      <c r="X100" s="480"/>
      <c r="Y100" s="480"/>
      <c r="Z100" s="439"/>
      <c r="AA100" s="910"/>
      <c r="AB100" s="439"/>
      <c r="AC100" s="439"/>
    </row>
    <row r="101" spans="1:29" ht="12.75">
      <c r="A101" s="477"/>
      <c r="B101" s="468"/>
      <c r="C101" s="478"/>
      <c r="D101" s="478"/>
      <c r="E101" s="478"/>
      <c r="F101" s="478"/>
      <c r="G101" s="478"/>
      <c r="H101" s="439"/>
      <c r="I101" s="480"/>
      <c r="J101" s="483"/>
      <c r="K101" s="480"/>
      <c r="L101" s="480"/>
      <c r="M101" s="480"/>
      <c r="N101" s="480"/>
      <c r="O101" s="480"/>
      <c r="P101" s="483"/>
      <c r="Q101" s="480"/>
      <c r="R101" s="480"/>
      <c r="S101" s="480"/>
      <c r="T101" s="480"/>
      <c r="U101" s="480"/>
      <c r="V101" s="480"/>
      <c r="W101" s="480"/>
      <c r="X101" s="480"/>
      <c r="Y101" s="480"/>
      <c r="Z101" s="439"/>
      <c r="AA101" s="910"/>
      <c r="AB101" s="439"/>
      <c r="AC101" s="439"/>
    </row>
    <row r="102" spans="1:29" ht="12.75">
      <c r="A102" s="477"/>
      <c r="B102" s="468"/>
      <c r="C102" s="478"/>
      <c r="D102" s="478"/>
      <c r="E102" s="478"/>
      <c r="F102" s="478"/>
      <c r="G102" s="478"/>
      <c r="H102" s="439"/>
      <c r="I102" s="480"/>
      <c r="J102" s="480"/>
      <c r="K102" s="480"/>
      <c r="L102" s="480"/>
      <c r="M102" s="480"/>
      <c r="N102" s="480"/>
      <c r="O102" s="480"/>
      <c r="P102" s="480"/>
      <c r="Q102" s="480"/>
      <c r="R102" s="480"/>
      <c r="S102" s="480"/>
      <c r="T102" s="480"/>
      <c r="U102" s="480"/>
      <c r="V102" s="480"/>
      <c r="W102" s="480"/>
      <c r="X102" s="480"/>
      <c r="Y102" s="480"/>
      <c r="Z102" s="439"/>
      <c r="AA102" s="910"/>
      <c r="AB102" s="439"/>
      <c r="AC102" s="439"/>
    </row>
    <row r="103" spans="1:29" ht="12.75">
      <c r="A103" s="502" t="s">
        <v>129</v>
      </c>
      <c r="B103" s="468"/>
      <c r="C103" s="478"/>
      <c r="D103" s="478"/>
      <c r="E103" s="478"/>
      <c r="F103" s="478"/>
      <c r="G103" s="478"/>
      <c r="H103" s="931" t="s">
        <v>244</v>
      </c>
      <c r="I103" s="932">
        <f>5800000*12</f>
        <v>69600000</v>
      </c>
      <c r="J103" s="483"/>
      <c r="K103" s="483"/>
      <c r="L103" s="480"/>
      <c r="M103" s="480"/>
      <c r="N103" s="480"/>
      <c r="O103" s="480"/>
      <c r="P103" s="480"/>
      <c r="Q103" s="480"/>
      <c r="R103" s="480"/>
      <c r="S103" s="480"/>
      <c r="T103" s="480"/>
      <c r="U103" s="480"/>
      <c r="V103" s="480"/>
      <c r="W103" s="480"/>
      <c r="X103" s="480"/>
      <c r="Y103" s="480"/>
      <c r="Z103" s="439"/>
      <c r="AA103" s="910"/>
      <c r="AB103" s="439"/>
      <c r="AC103" s="439"/>
    </row>
    <row r="104" spans="1:29" ht="12.75">
      <c r="A104" s="439"/>
      <c r="B104" s="468"/>
      <c r="C104" s="468"/>
      <c r="D104" s="468"/>
      <c r="E104" s="468"/>
      <c r="F104" s="468"/>
      <c r="G104" s="468"/>
      <c r="H104" s="485" t="s">
        <v>414</v>
      </c>
      <c r="I104" s="533">
        <v>4000000</v>
      </c>
      <c r="J104" s="439"/>
      <c r="K104" s="439"/>
      <c r="L104" s="439"/>
      <c r="M104" s="439"/>
      <c r="N104" s="439"/>
      <c r="O104" s="439"/>
      <c r="P104" s="439"/>
      <c r="Q104" s="439"/>
      <c r="R104" s="439"/>
      <c r="S104" s="439"/>
      <c r="T104" s="439"/>
      <c r="U104" s="439"/>
      <c r="V104" s="439"/>
      <c r="W104" s="439"/>
      <c r="X104" s="439"/>
      <c r="Y104" s="439"/>
      <c r="Z104" s="439"/>
      <c r="AA104" s="910"/>
      <c r="AB104" s="439"/>
      <c r="AC104" s="439"/>
    </row>
    <row r="105" spans="1:29" ht="12.75">
      <c r="A105" s="439"/>
      <c r="B105" s="468"/>
      <c r="C105" s="468"/>
      <c r="D105" s="468"/>
      <c r="E105" s="468"/>
      <c r="F105" s="468"/>
      <c r="G105" s="468"/>
      <c r="H105" s="466" t="s">
        <v>109</v>
      </c>
      <c r="I105" s="911">
        <f>SUM(I103:I104)</f>
        <v>73600000</v>
      </c>
      <c r="J105" s="439"/>
      <c r="K105" s="439"/>
      <c r="L105" s="439"/>
      <c r="M105" s="439"/>
      <c r="N105" s="439"/>
      <c r="O105" s="439"/>
      <c r="P105" s="439"/>
      <c r="Q105" s="439"/>
      <c r="R105" s="439"/>
      <c r="S105" s="439"/>
      <c r="T105" s="439"/>
      <c r="U105" s="439"/>
      <c r="V105" s="439"/>
      <c r="W105" s="439"/>
      <c r="X105" s="439"/>
      <c r="Y105" s="439"/>
      <c r="Z105" s="439"/>
      <c r="AA105" s="910"/>
      <c r="AB105" s="439"/>
      <c r="AC105" s="439"/>
    </row>
    <row r="106" spans="1:29" ht="12.75">
      <c r="A106" s="439"/>
      <c r="B106" s="468"/>
      <c r="C106" s="468"/>
      <c r="D106" s="468"/>
      <c r="E106" s="468"/>
      <c r="F106" s="468"/>
      <c r="G106" s="468"/>
      <c r="H106" s="439"/>
      <c r="I106" s="439"/>
      <c r="J106" s="439"/>
      <c r="K106" s="439"/>
      <c r="L106" s="439"/>
      <c r="M106" s="439"/>
      <c r="N106" s="439"/>
      <c r="O106" s="439"/>
      <c r="P106" s="439"/>
      <c r="Q106" s="439"/>
      <c r="R106" s="439"/>
      <c r="S106" s="439"/>
      <c r="T106" s="439"/>
      <c r="U106" s="439"/>
      <c r="V106" s="439"/>
      <c r="W106" s="439"/>
      <c r="X106" s="439"/>
      <c r="Y106" s="439"/>
      <c r="Z106" s="439"/>
      <c r="AA106" s="910"/>
      <c r="AB106" s="439"/>
      <c r="AC106" s="439"/>
    </row>
    <row r="107" spans="1:29" ht="12.75">
      <c r="A107" s="532"/>
      <c r="B107" s="468"/>
      <c r="C107" s="518"/>
      <c r="D107" s="518"/>
      <c r="E107" s="518"/>
      <c r="F107" s="518"/>
      <c r="G107" s="518"/>
      <c r="H107" s="480"/>
      <c r="I107" s="483"/>
      <c r="J107" s="480"/>
      <c r="K107" s="439"/>
      <c r="L107" s="439"/>
      <c r="M107" s="439"/>
      <c r="N107" s="439"/>
      <c r="O107" s="439"/>
      <c r="P107" s="439"/>
      <c r="Q107" s="439"/>
      <c r="R107" s="439"/>
      <c r="S107" s="439"/>
      <c r="T107" s="439"/>
      <c r="U107" s="439"/>
      <c r="V107" s="439"/>
      <c r="W107" s="439"/>
      <c r="X107" s="439"/>
      <c r="Y107" s="439"/>
      <c r="Z107" s="439"/>
      <c r="AA107" s="910"/>
      <c r="AB107" s="439"/>
      <c r="AC107" s="439"/>
    </row>
    <row r="108" spans="1:29" ht="12.75">
      <c r="A108" s="480"/>
      <c r="B108" s="468"/>
      <c r="C108" s="518"/>
      <c r="D108" s="518"/>
      <c r="E108" s="518"/>
      <c r="F108" s="518"/>
      <c r="G108" s="518"/>
      <c r="H108" s="480"/>
      <c r="I108" s="483"/>
      <c r="J108" s="480"/>
      <c r="K108" s="439"/>
      <c r="L108" s="439"/>
      <c r="M108" s="439"/>
      <c r="N108" s="439"/>
      <c r="O108" s="439"/>
      <c r="P108" s="439"/>
      <c r="Q108" s="439"/>
      <c r="R108" s="439"/>
      <c r="S108" s="439"/>
      <c r="T108" s="439"/>
      <c r="U108" s="439"/>
      <c r="V108" s="439"/>
      <c r="W108" s="439"/>
      <c r="X108" s="439"/>
      <c r="Y108" s="439"/>
      <c r="Z108" s="439"/>
      <c r="AA108" s="910"/>
      <c r="AB108" s="439"/>
      <c r="AC108" s="439"/>
    </row>
    <row r="109" spans="1:29" ht="12.75">
      <c r="A109" s="480"/>
      <c r="B109" s="468"/>
      <c r="C109" s="518"/>
      <c r="D109" s="518"/>
      <c r="E109" s="518"/>
      <c r="F109" s="518"/>
      <c r="G109" s="518"/>
      <c r="H109" s="387"/>
      <c r="I109" s="519"/>
      <c r="J109" s="480"/>
      <c r="K109" s="439"/>
      <c r="L109" s="439"/>
      <c r="M109" s="439"/>
      <c r="N109" s="439"/>
      <c r="O109" s="439"/>
      <c r="P109" s="439"/>
      <c r="Q109" s="439"/>
      <c r="R109" s="439"/>
      <c r="S109" s="439"/>
      <c r="T109" s="439"/>
      <c r="U109" s="439"/>
      <c r="V109" s="439"/>
      <c r="W109" s="439"/>
      <c r="X109" s="439"/>
      <c r="Y109" s="439"/>
      <c r="Z109" s="439"/>
      <c r="AA109" s="910"/>
      <c r="AB109" s="439"/>
      <c r="AC109" s="439"/>
    </row>
    <row r="110" spans="1:29" ht="12.75">
      <c r="A110" s="439"/>
      <c r="B110" s="468"/>
      <c r="C110" s="468"/>
      <c r="D110" s="468"/>
      <c r="E110" s="468"/>
      <c r="F110" s="468"/>
      <c r="G110" s="468"/>
      <c r="H110" s="439"/>
      <c r="I110" s="439"/>
      <c r="J110" s="439"/>
      <c r="K110" s="439"/>
      <c r="L110" s="439"/>
      <c r="M110" s="439"/>
      <c r="N110" s="439"/>
      <c r="O110" s="439"/>
      <c r="P110" s="439"/>
      <c r="Q110" s="439"/>
      <c r="R110" s="439"/>
      <c r="S110" s="439"/>
      <c r="T110" s="439"/>
      <c r="U110" s="439"/>
      <c r="V110" s="439"/>
      <c r="W110" s="439"/>
      <c r="X110" s="439"/>
      <c r="Y110" s="439"/>
      <c r="Z110" s="439"/>
      <c r="AA110" s="910"/>
      <c r="AB110" s="439"/>
      <c r="AC110" s="439"/>
    </row>
    <row r="111" spans="1:29" ht="12.75">
      <c r="A111" s="439"/>
      <c r="B111" s="439"/>
      <c r="C111" s="468"/>
      <c r="D111" s="468"/>
      <c r="E111" s="468"/>
      <c r="F111" s="468"/>
      <c r="G111" s="468"/>
      <c r="H111" s="439"/>
      <c r="I111" s="439"/>
      <c r="J111" s="439"/>
      <c r="K111" s="439"/>
      <c r="L111" s="439"/>
      <c r="M111" s="439"/>
      <c r="N111" s="439"/>
      <c r="O111" s="439"/>
      <c r="P111" s="439"/>
      <c r="Q111" s="439"/>
      <c r="R111" s="439"/>
      <c r="S111" s="439"/>
      <c r="T111" s="439"/>
      <c r="U111" s="439"/>
      <c r="V111" s="439"/>
      <c r="W111" s="439"/>
      <c r="X111" s="439"/>
      <c r="Y111" s="439"/>
      <c r="Z111" s="439"/>
      <c r="AA111" s="910"/>
      <c r="AB111" s="439"/>
      <c r="AC111" s="439"/>
    </row>
    <row r="112" spans="1:29" ht="12.75">
      <c r="A112" s="439"/>
      <c r="B112" s="439"/>
      <c r="C112" s="468"/>
      <c r="D112" s="468"/>
      <c r="E112" s="468"/>
      <c r="F112" s="468"/>
      <c r="G112" s="468"/>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row>
    <row r="113" spans="1:29" ht="12.75">
      <c r="A113" s="439"/>
      <c r="B113" s="439"/>
      <c r="C113" s="468"/>
      <c r="D113" s="468"/>
      <c r="E113" s="468"/>
      <c r="F113" s="468"/>
      <c r="G113" s="468"/>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row>
    <row r="114" spans="1:29" ht="12.75">
      <c r="A114" s="439"/>
      <c r="B114" s="439"/>
      <c r="C114" s="468"/>
      <c r="D114" s="468"/>
      <c r="E114" s="468"/>
      <c r="F114" s="468"/>
      <c r="G114" s="468"/>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row>
    <row r="115" spans="1:29" ht="12.75">
      <c r="A115" s="439"/>
      <c r="B115" s="439"/>
      <c r="C115" s="468"/>
      <c r="D115" s="468"/>
      <c r="E115" s="468"/>
      <c r="F115" s="468"/>
      <c r="G115" s="468"/>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row>
    <row r="116" spans="1:29" ht="12.75">
      <c r="A116" s="439"/>
      <c r="B116" s="439"/>
      <c r="C116" s="468"/>
      <c r="D116" s="468"/>
      <c r="E116" s="468"/>
      <c r="F116" s="468"/>
      <c r="G116" s="468"/>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row>
    <row r="117" spans="1:29" ht="12.75">
      <c r="A117" s="439"/>
      <c r="B117" s="439"/>
      <c r="C117" s="468"/>
      <c r="D117" s="468"/>
      <c r="E117" s="468"/>
      <c r="F117" s="468"/>
      <c r="G117" s="468"/>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row>
    <row r="118" spans="1:29" ht="12.75">
      <c r="A118" s="439"/>
      <c r="B118" s="439"/>
      <c r="C118" s="468"/>
      <c r="D118" s="468"/>
      <c r="E118" s="468"/>
      <c r="F118" s="468"/>
      <c r="G118" s="468"/>
      <c r="H118" s="439"/>
      <c r="I118" s="439"/>
      <c r="J118" s="439"/>
      <c r="K118" s="439"/>
      <c r="L118" s="439"/>
      <c r="M118" s="439"/>
      <c r="N118" s="439"/>
      <c r="O118" s="439"/>
      <c r="P118" s="439"/>
      <c r="Q118" s="439"/>
      <c r="R118" s="439"/>
      <c r="S118" s="439"/>
      <c r="T118" s="439"/>
      <c r="U118" s="439"/>
      <c r="V118" s="439"/>
      <c r="W118" s="439"/>
      <c r="X118" s="439"/>
      <c r="Y118" s="439"/>
      <c r="Z118" s="439"/>
      <c r="AA118" s="439"/>
      <c r="AB118" s="439"/>
      <c r="AC118" s="439"/>
    </row>
    <row r="119" spans="1:25" ht="12.75">
      <c r="A119" s="409"/>
      <c r="B119" s="409"/>
      <c r="C119" s="410"/>
      <c r="D119" s="410"/>
      <c r="E119" s="410"/>
      <c r="F119" s="410"/>
      <c r="G119" s="410"/>
      <c r="H119" s="409"/>
      <c r="I119" s="409"/>
      <c r="J119" s="409"/>
      <c r="K119" s="409"/>
      <c r="L119" s="409"/>
      <c r="M119" s="409"/>
      <c r="N119" s="409"/>
      <c r="O119" s="409"/>
      <c r="P119" s="409"/>
      <c r="Q119" s="409"/>
      <c r="R119" s="409"/>
      <c r="S119" s="409"/>
      <c r="T119" s="409"/>
      <c r="U119" s="409"/>
      <c r="V119" s="409"/>
      <c r="W119" s="409"/>
      <c r="X119" s="409"/>
      <c r="Y119" s="409"/>
    </row>
    <row r="120" spans="1:25" ht="12.75">
      <c r="A120" s="409"/>
      <c r="B120" s="409"/>
      <c r="C120" s="410"/>
      <c r="D120" s="410"/>
      <c r="E120" s="410"/>
      <c r="F120" s="410"/>
      <c r="G120" s="410"/>
      <c r="H120" s="409"/>
      <c r="I120" s="409"/>
      <c r="J120" s="409"/>
      <c r="K120" s="409"/>
      <c r="L120" s="409"/>
      <c r="M120" s="409"/>
      <c r="N120" s="409"/>
      <c r="O120" s="409"/>
      <c r="P120" s="409"/>
      <c r="Q120" s="409"/>
      <c r="R120" s="409"/>
      <c r="S120" s="409"/>
      <c r="T120" s="409"/>
      <c r="U120" s="409"/>
      <c r="V120" s="409"/>
      <c r="W120" s="409"/>
      <c r="X120" s="409"/>
      <c r="Y120" s="409"/>
    </row>
    <row r="121" spans="1:25" ht="12.75">
      <c r="A121" s="409"/>
      <c r="B121" s="409"/>
      <c r="C121" s="410"/>
      <c r="D121" s="410"/>
      <c r="E121" s="410"/>
      <c r="F121" s="410"/>
      <c r="G121" s="410"/>
      <c r="H121" s="409"/>
      <c r="I121" s="409"/>
      <c r="J121" s="409"/>
      <c r="K121" s="409"/>
      <c r="L121" s="409"/>
      <c r="M121" s="409"/>
      <c r="N121" s="409"/>
      <c r="O121" s="409"/>
      <c r="P121" s="409"/>
      <c r="Q121" s="409"/>
      <c r="R121" s="409"/>
      <c r="S121" s="409"/>
      <c r="T121" s="409"/>
      <c r="U121" s="409"/>
      <c r="V121" s="409"/>
      <c r="W121" s="409"/>
      <c r="X121" s="409"/>
      <c r="Y121" s="409"/>
    </row>
  </sheetData>
  <sheetProtection/>
  <mergeCells count="13">
    <mergeCell ref="P4:Z4"/>
    <mergeCell ref="P5:Z5"/>
    <mergeCell ref="P6:Z6"/>
    <mergeCell ref="C4:O4"/>
    <mergeCell ref="C5:O5"/>
    <mergeCell ref="C6:O6"/>
    <mergeCell ref="R94:S95"/>
    <mergeCell ref="R93:S93"/>
    <mergeCell ref="X8:X9"/>
    <mergeCell ref="P8:R8"/>
    <mergeCell ref="C83:H83"/>
    <mergeCell ref="S8:S9"/>
    <mergeCell ref="U8:U9"/>
  </mergeCells>
  <printOptions/>
  <pageMargins left="0.2362204724409449" right="0.7480314960629921" top="0.15748031496062992" bottom="0.1968503937007874" header="0" footer="0"/>
  <pageSetup fitToWidth="2" horizontalDpi="300" verticalDpi="300" orientation="landscape" scale="45" r:id="rId1"/>
  <rowBreaks count="1" manualBreakCount="1">
    <brk id="84" max="24" man="1"/>
  </rowBreaks>
  <colBreaks count="1" manualBreakCount="1">
    <brk id="13" max="109" man="1"/>
  </colBreaks>
</worksheet>
</file>

<file path=xl/worksheets/sheet15.xml><?xml version="1.0" encoding="utf-8"?>
<worksheet xmlns="http://schemas.openxmlformats.org/spreadsheetml/2006/main" xmlns:r="http://schemas.openxmlformats.org/officeDocument/2006/relationships">
  <dimension ref="A1:O82"/>
  <sheetViews>
    <sheetView view="pageBreakPreview" zoomScale="60" zoomScaleNormal="75" zoomScalePageLayoutView="0" workbookViewId="0" topLeftCell="C31">
      <selection activeCell="L11" sqref="L11"/>
    </sheetView>
  </sheetViews>
  <sheetFormatPr defaultColWidth="11.421875" defaultRowHeight="12.75"/>
  <cols>
    <col min="1" max="1" width="16.28125" style="0" hidden="1" customWidth="1"/>
    <col min="2" max="2" width="16.00390625" style="0" hidden="1" customWidth="1"/>
    <col min="3" max="3" width="3.8515625" style="0" customWidth="1"/>
    <col min="4" max="4" width="46.57421875" style="0" customWidth="1"/>
    <col min="5" max="5" width="9.00390625" style="0" customWidth="1"/>
    <col min="6" max="6" width="15.28125" style="0" customWidth="1"/>
    <col min="7" max="7" width="17.7109375" style="0" customWidth="1"/>
    <col min="8" max="8" width="3.8515625" style="0" customWidth="1"/>
    <col min="9" max="9" width="45.7109375" style="0" customWidth="1"/>
    <col min="10" max="10" width="8.00390625" style="0" customWidth="1"/>
    <col min="11" max="12" width="17.7109375" style="0" customWidth="1"/>
    <col min="13" max="13" width="4.00390625" style="0" customWidth="1"/>
    <col min="14" max="14" width="15.140625" style="0" customWidth="1"/>
    <col min="15" max="15" width="19.140625" style="0" customWidth="1"/>
  </cols>
  <sheetData>
    <row r="1" spans="1:15" ht="18">
      <c r="A1" s="440"/>
      <c r="D1" s="1408" t="s">
        <v>87</v>
      </c>
      <c r="E1" s="1408"/>
      <c r="F1" s="1408"/>
      <c r="G1" s="1408"/>
      <c r="H1" s="440"/>
      <c r="I1" s="1408" t="s">
        <v>87</v>
      </c>
      <c r="J1" s="1408"/>
      <c r="K1" s="1408"/>
      <c r="L1" s="1408"/>
      <c r="N1" s="1408" t="s">
        <v>839</v>
      </c>
      <c r="O1" s="1408"/>
    </row>
    <row r="2" spans="1:12" ht="18">
      <c r="A2" s="440"/>
      <c r="B2" s="440"/>
      <c r="C2" s="440"/>
      <c r="D2" s="1408" t="s">
        <v>222</v>
      </c>
      <c r="E2" s="1408"/>
      <c r="F2" s="1408"/>
      <c r="G2" s="1408"/>
      <c r="H2" s="440"/>
      <c r="I2" s="1408" t="s">
        <v>222</v>
      </c>
      <c r="J2" s="1408"/>
      <c r="K2" s="1408"/>
      <c r="L2" s="1408"/>
    </row>
    <row r="3" spans="1:12" ht="18">
      <c r="A3" s="440"/>
      <c r="B3" s="440"/>
      <c r="C3" s="440"/>
      <c r="D3" s="1408" t="s">
        <v>840</v>
      </c>
      <c r="E3" s="1408"/>
      <c r="F3" s="1408"/>
      <c r="G3" s="1408"/>
      <c r="H3" s="440"/>
      <c r="I3" s="1408" t="s">
        <v>655</v>
      </c>
      <c r="J3" s="1408"/>
      <c r="K3" s="1408"/>
      <c r="L3" s="1408"/>
    </row>
    <row r="4" spans="1:4" ht="16.5" customHeight="1" thickBot="1">
      <c r="A4" s="1201"/>
      <c r="B4" s="1201"/>
      <c r="C4" s="1201"/>
      <c r="D4" s="1201"/>
    </row>
    <row r="5" spans="1:15" ht="39" thickBot="1">
      <c r="A5" s="1202" t="s">
        <v>247</v>
      </c>
      <c r="B5" s="1202" t="s">
        <v>841</v>
      </c>
      <c r="C5" s="1201"/>
      <c r="D5" s="516"/>
      <c r="E5" s="509" t="s">
        <v>226</v>
      </c>
      <c r="F5" s="509" t="s">
        <v>229</v>
      </c>
      <c r="G5" s="509" t="s">
        <v>842</v>
      </c>
      <c r="H5" s="901"/>
      <c r="I5" s="516"/>
      <c r="J5" s="509" t="s">
        <v>226</v>
      </c>
      <c r="K5" s="509" t="s">
        <v>229</v>
      </c>
      <c r="L5" s="509" t="s">
        <v>670</v>
      </c>
      <c r="N5" s="509" t="s">
        <v>843</v>
      </c>
      <c r="O5" s="509" t="s">
        <v>844</v>
      </c>
    </row>
    <row r="6" spans="1:12" ht="12.75">
      <c r="A6" s="444"/>
      <c r="B6" s="444"/>
      <c r="C6" s="429"/>
      <c r="D6" s="429"/>
      <c r="E6" s="375"/>
      <c r="F6" s="375"/>
      <c r="G6" s="375"/>
      <c r="H6" s="586"/>
      <c r="I6" s="429"/>
      <c r="J6" s="375"/>
      <c r="K6" s="375"/>
      <c r="L6" s="375"/>
    </row>
    <row r="7" spans="1:15" ht="13.5" customHeight="1">
      <c r="A7" s="444"/>
      <c r="B7" s="444"/>
      <c r="C7" s="1203"/>
      <c r="D7" s="487" t="s">
        <v>303</v>
      </c>
      <c r="E7" s="1414" t="s">
        <v>91</v>
      </c>
      <c r="F7" s="1415"/>
      <c r="G7" s="1204">
        <f>+G8</f>
        <v>164283019.22628295</v>
      </c>
      <c r="H7" s="1205"/>
      <c r="I7" s="487" t="s">
        <v>303</v>
      </c>
      <c r="J7" s="1414" t="s">
        <v>91</v>
      </c>
      <c r="K7" s="1415"/>
      <c r="L7" s="1204">
        <f>+L8</f>
        <v>167652978.93011293</v>
      </c>
      <c r="M7" s="426"/>
      <c r="N7" s="1206" t="s">
        <v>845</v>
      </c>
      <c r="O7" s="1206" t="s">
        <v>846</v>
      </c>
    </row>
    <row r="8" spans="1:15" ht="12.75">
      <c r="A8" s="489" t="e">
        <f>SUM(A9:A15)</f>
        <v>#REF!</v>
      </c>
      <c r="B8" s="444"/>
      <c r="C8" s="1207"/>
      <c r="D8" s="1208" t="s">
        <v>237</v>
      </c>
      <c r="E8" s="1209">
        <f>SUM(E9:E16)</f>
        <v>9</v>
      </c>
      <c r="F8" s="1210">
        <f>SUM(F9:F16)</f>
        <v>9205653.63927</v>
      </c>
      <c r="G8" s="1210">
        <f>SUM(G9:G16)</f>
        <v>164283019.22628295</v>
      </c>
      <c r="H8" s="1211"/>
      <c r="I8" s="1208" t="s">
        <v>237</v>
      </c>
      <c r="J8" s="1209">
        <f>SUM(J9:J16)</f>
        <v>9</v>
      </c>
      <c r="K8" s="1210">
        <f>SUM(K9:K16)</f>
        <v>9508606.705</v>
      </c>
      <c r="L8" s="1210">
        <f>SUM(L9:L16)</f>
        <v>167652978.93011293</v>
      </c>
      <c r="M8" s="426"/>
      <c r="N8" s="1212">
        <f aca="true" t="shared" si="0" ref="N8:O16">+(K8-F8)/F8</f>
        <v>0.032909457340176855</v>
      </c>
      <c r="O8" s="1212">
        <f t="shared" si="0"/>
        <v>0.02051313470924345</v>
      </c>
    </row>
    <row r="9" spans="1:15" ht="12.75">
      <c r="A9" s="1213" t="e">
        <f>+#REF!/12</f>
        <v>#REF!</v>
      </c>
      <c r="B9" s="444"/>
      <c r="C9" s="1214"/>
      <c r="D9" s="587" t="s">
        <v>463</v>
      </c>
      <c r="E9" s="902">
        <v>1</v>
      </c>
      <c r="F9" s="1215">
        <v>2799970.38</v>
      </c>
      <c r="G9" s="1215">
        <v>51144204.82831932</v>
      </c>
      <c r="H9" s="1216"/>
      <c r="I9" s="587" t="s">
        <v>463</v>
      </c>
      <c r="J9" s="902">
        <f>+'Nómina y honorarios 2011'!C13</f>
        <v>1</v>
      </c>
      <c r="K9" s="1215">
        <f>+'Nómina y honorarios 2011'!J13</f>
        <v>2888729.049</v>
      </c>
      <c r="L9" s="1215">
        <f>+'Nómina y honorarios 2011'!Y13</f>
        <v>51763873.417848185</v>
      </c>
      <c r="M9" s="426"/>
      <c r="N9" s="1217">
        <f>+(K9-F9)/F9</f>
        <v>0.03169985998209032</v>
      </c>
      <c r="O9" s="1217">
        <f t="shared" si="0"/>
        <v>0.012116105658675649</v>
      </c>
    </row>
    <row r="10" spans="1:15" ht="12.75">
      <c r="A10" s="1213" t="e">
        <f>+#REF!/12</f>
        <v>#REF!</v>
      </c>
      <c r="B10" s="444"/>
      <c r="C10" s="1207"/>
      <c r="D10" s="587" t="s">
        <v>455</v>
      </c>
      <c r="E10" s="902">
        <v>1</v>
      </c>
      <c r="F10" s="1215">
        <v>1256612.46</v>
      </c>
      <c r="G10" s="1215">
        <v>22953258.89985244</v>
      </c>
      <c r="H10" s="1216"/>
      <c r="I10" s="587" t="s">
        <v>455</v>
      </c>
      <c r="J10" s="902">
        <f>+'Nómina y honorarios 2011'!C14</f>
        <v>1</v>
      </c>
      <c r="K10" s="1215">
        <f>+'Nómina y honorarios 2011'!J14</f>
        <v>1296446.6004</v>
      </c>
      <c r="L10" s="1215">
        <f>+'Nómina y honorarios 2011'!Y14</f>
        <v>23231357.658599574</v>
      </c>
      <c r="M10" s="426"/>
      <c r="N10" s="1217">
        <f t="shared" si="0"/>
        <v>0.03169962233225043</v>
      </c>
      <c r="O10" s="1217">
        <f t="shared" si="0"/>
        <v>0.012115872519911417</v>
      </c>
    </row>
    <row r="11" spans="1:15" ht="12.75">
      <c r="A11" s="1213" t="e">
        <f>+#REF!/12</f>
        <v>#REF!</v>
      </c>
      <c r="B11" s="444"/>
      <c r="C11" s="1207"/>
      <c r="D11" s="587" t="s">
        <v>238</v>
      </c>
      <c r="E11" s="902">
        <v>1</v>
      </c>
      <c r="F11" s="1215">
        <v>1256612.46</v>
      </c>
      <c r="G11" s="1215">
        <v>22953258.89985244</v>
      </c>
      <c r="H11" s="1216"/>
      <c r="I11" s="587" t="s">
        <v>238</v>
      </c>
      <c r="J11" s="902">
        <f>+'Nómina y honorarios 2011'!C15</f>
        <v>1</v>
      </c>
      <c r="K11" s="1215">
        <f>+'Nómina y honorarios 2011'!J15</f>
        <v>1296446.6004</v>
      </c>
      <c r="L11" s="1215">
        <f>+'Nómina y honorarios 2011'!Y15</f>
        <v>23118979.93868143</v>
      </c>
      <c r="M11" s="426"/>
      <c r="N11" s="1217">
        <f t="shared" si="0"/>
        <v>0.03169962233225043</v>
      </c>
      <c r="O11" s="1217">
        <f t="shared" si="0"/>
        <v>0.007219935066826468</v>
      </c>
    </row>
    <row r="12" spans="1:15" ht="12.75">
      <c r="A12" s="1213" t="e">
        <f>+#REF!/12</f>
        <v>#REF!</v>
      </c>
      <c r="B12" s="444"/>
      <c r="C12" s="1207"/>
      <c r="D12" s="587" t="s">
        <v>527</v>
      </c>
      <c r="E12" s="902">
        <v>1</v>
      </c>
      <c r="F12" s="1215">
        <v>1089144.78</v>
      </c>
      <c r="G12" s="1215">
        <v>19894297.49468092</v>
      </c>
      <c r="H12" s="1216"/>
      <c r="I12" s="587" t="s">
        <v>527</v>
      </c>
      <c r="J12" s="902">
        <f>+'Nómina y honorarios 2011'!C16</f>
        <v>1</v>
      </c>
      <c r="K12" s="1215">
        <f>+'Nómina y honorarios 2011'!J16</f>
        <v>1123670.8965</v>
      </c>
      <c r="L12" s="1215">
        <f>+'Nómina y honorarios 2011'!Y16</f>
        <v>20524950.871165004</v>
      </c>
      <c r="M12" s="426"/>
      <c r="N12" s="1217">
        <f t="shared" si="0"/>
        <v>0.031700208396536596</v>
      </c>
      <c r="O12" s="1217">
        <f>+(L12-G12)/G12</f>
        <v>0.03170020839653679</v>
      </c>
    </row>
    <row r="13" spans="1:15" ht="12.75">
      <c r="A13" s="1213" t="e">
        <f>+#REF!/12</f>
        <v>#REF!</v>
      </c>
      <c r="B13" s="444"/>
      <c r="C13" s="1207"/>
      <c r="D13" s="587" t="s">
        <v>144</v>
      </c>
      <c r="E13" s="902">
        <v>1</v>
      </c>
      <c r="F13" s="1215">
        <v>768722.9127399999</v>
      </c>
      <c r="G13" s="1215">
        <v>13819297.114989532</v>
      </c>
      <c r="H13" s="1216"/>
      <c r="I13" s="587" t="s">
        <v>144</v>
      </c>
      <c r="J13" s="902">
        <f>+'Nómina y honorarios 2011'!C17</f>
        <v>1</v>
      </c>
      <c r="K13" s="1215">
        <f>+'Nómina y honorarios 2011'!J17</f>
        <v>793240.9374</v>
      </c>
      <c r="L13" s="1215">
        <f>+'Nómina y honorarios 2011'!Y17</f>
        <v>14259559.256156944</v>
      </c>
      <c r="M13" s="426"/>
      <c r="N13" s="1217">
        <f t="shared" si="0"/>
        <v>0.03189448922838688</v>
      </c>
      <c r="O13" s="1217">
        <f t="shared" si="0"/>
        <v>0.03185850463334112</v>
      </c>
    </row>
    <row r="14" spans="1:15" ht="12.75">
      <c r="A14" s="1213" t="e">
        <f>+#REF!/12</f>
        <v>#REF!</v>
      </c>
      <c r="B14" s="444"/>
      <c r="C14" s="1207"/>
      <c r="D14" s="587" t="s">
        <v>542</v>
      </c>
      <c r="E14" s="902">
        <v>1</v>
      </c>
      <c r="F14" s="1215">
        <v>685589.85274</v>
      </c>
      <c r="G14" s="1215">
        <v>12300790.248268696</v>
      </c>
      <c r="H14" s="1216"/>
      <c r="I14" s="587" t="s">
        <v>542</v>
      </c>
      <c r="J14" s="902">
        <f>+'Nómina y honorarios 2011'!C18</f>
        <v>1</v>
      </c>
      <c r="K14" s="1215">
        <f>+'Nómina y honorarios 2011'!J18</f>
        <v>707472.6213</v>
      </c>
      <c r="L14" s="1215">
        <f>+'Nómina y honorarios 2011'!Y18</f>
        <v>12692916.852461789</v>
      </c>
      <c r="M14" s="426"/>
      <c r="N14" s="1217">
        <f t="shared" si="0"/>
        <v>0.031918162838239554</v>
      </c>
      <c r="O14" s="1217">
        <f>+(L14-G14)/G14</f>
        <v>0.03187816362028318</v>
      </c>
    </row>
    <row r="15" spans="1:15" ht="12.75">
      <c r="A15" s="1213" t="e">
        <f>+#REF!/12</f>
        <v>#REF!</v>
      </c>
      <c r="B15" s="444"/>
      <c r="C15" s="1207"/>
      <c r="D15" s="587" t="s">
        <v>128</v>
      </c>
      <c r="E15" s="902">
        <v>1</v>
      </c>
      <c r="F15" s="1215">
        <v>576500.80516</v>
      </c>
      <c r="G15" s="1215">
        <v>10308171.814227331</v>
      </c>
      <c r="H15" s="1216"/>
      <c r="I15" s="587" t="s">
        <v>128</v>
      </c>
      <c r="J15" s="902">
        <f>+'Nómina y honorarios 2011'!C19</f>
        <v>1</v>
      </c>
      <c r="K15" s="1215">
        <f>+'Nómina y honorarios 2011'!J19</f>
        <v>599200</v>
      </c>
      <c r="L15" s="1215">
        <f>+'Nómina y honorarios 2011'!Y19</f>
        <v>10715211.245066663</v>
      </c>
      <c r="M15" s="426"/>
      <c r="N15" s="1217">
        <f t="shared" si="0"/>
        <v>0.039374090438087345</v>
      </c>
      <c r="O15" s="1217">
        <f>+(L15-G15)/G15</f>
        <v>0.03948706309663332</v>
      </c>
    </row>
    <row r="16" spans="1:15" ht="12.75">
      <c r="A16" s="1218"/>
      <c r="B16" s="444"/>
      <c r="C16" s="1207"/>
      <c r="D16" s="587" t="s">
        <v>23</v>
      </c>
      <c r="E16" s="902">
        <v>2</v>
      </c>
      <c r="F16" s="1219">
        <v>772499.98863</v>
      </c>
      <c r="G16" s="1215">
        <v>10909739.926092241</v>
      </c>
      <c r="H16" s="1216"/>
      <c r="I16" s="587" t="s">
        <v>23</v>
      </c>
      <c r="J16" s="902">
        <f>+'Nómina y honorarios 2011'!C20</f>
        <v>2</v>
      </c>
      <c r="K16" s="1215">
        <f>+'Nómina y honorarios 2011'!J20</f>
        <v>803400</v>
      </c>
      <c r="L16" s="1215">
        <f>+'Nómina y honorarios 2011'!Y20</f>
        <v>11346129.690133333</v>
      </c>
      <c r="M16" s="426"/>
      <c r="N16" s="1217">
        <f t="shared" si="0"/>
        <v>0.040000015307184646</v>
      </c>
      <c r="O16" s="1217">
        <f>+(L16-G16)/G16</f>
        <v>0.04000001530718456</v>
      </c>
    </row>
    <row r="17" spans="1:13" ht="12.75">
      <c r="A17" s="1218"/>
      <c r="B17" s="444"/>
      <c r="C17" s="1207"/>
      <c r="D17" s="1207"/>
      <c r="E17" s="426"/>
      <c r="F17" s="426"/>
      <c r="G17" s="1220"/>
      <c r="H17" s="426"/>
      <c r="I17" s="1203"/>
      <c r="J17" s="426"/>
      <c r="K17" s="426"/>
      <c r="L17" s="426"/>
      <c r="M17" s="426"/>
    </row>
    <row r="18" spans="1:15" ht="16.5" customHeight="1">
      <c r="A18" s="444"/>
      <c r="B18" s="444"/>
      <c r="C18" s="1203"/>
      <c r="D18" s="487" t="s">
        <v>26</v>
      </c>
      <c r="E18" s="1414" t="s">
        <v>91</v>
      </c>
      <c r="F18" s="1415"/>
      <c r="G18" s="1204">
        <f>+G19+G29+G34</f>
        <v>874152278.2544763</v>
      </c>
      <c r="H18" s="1205"/>
      <c r="I18" s="487" t="s">
        <v>26</v>
      </c>
      <c r="J18" s="1414" t="s">
        <v>91</v>
      </c>
      <c r="K18" s="1415"/>
      <c r="L18" s="1204">
        <f>+L19+L29+L34</f>
        <v>880208624.3019845</v>
      </c>
      <c r="M18" s="426"/>
      <c r="N18" s="1206" t="s">
        <v>845</v>
      </c>
      <c r="O18" s="1206" t="s">
        <v>846</v>
      </c>
    </row>
    <row r="19" spans="1:15" ht="12.75">
      <c r="A19" s="497" t="e">
        <f>SUM(A20:A24)</f>
        <v>#REF!</v>
      </c>
      <c r="B19" s="444"/>
      <c r="C19" s="1203"/>
      <c r="D19" s="491" t="s">
        <v>9</v>
      </c>
      <c r="E19" s="1224">
        <f>SUM(E20:E37)</f>
        <v>24</v>
      </c>
      <c r="F19" s="1210">
        <f>SUM(F20:F27)</f>
        <v>25437852.821459997</v>
      </c>
      <c r="G19" s="1210">
        <f>SUM(G20:G27)</f>
        <v>719688746.2015121</v>
      </c>
      <c r="H19" s="1222"/>
      <c r="I19" s="1223" t="str">
        <f>+D19</f>
        <v>FORMALIDAD E INTEGRACIÓN</v>
      </c>
      <c r="J19" s="1224">
        <f>SUM(J20:J37)</f>
        <v>24</v>
      </c>
      <c r="K19" s="1210">
        <f>SUM(K20:K37)</f>
        <v>35049613.70589999</v>
      </c>
      <c r="L19" s="1225">
        <f>SUM(L20:L27)</f>
        <v>743521204.8749192</v>
      </c>
      <c r="M19" s="426"/>
      <c r="N19" s="1212">
        <f>+(K19-F19)/F19</f>
        <v>0.37785268088080437</v>
      </c>
      <c r="O19" s="1212">
        <f aca="true" t="shared" si="1" ref="O19:O32">+(L19-G19)/G19</f>
        <v>0.03311495253912726</v>
      </c>
    </row>
    <row r="20" spans="1:15" ht="12.75">
      <c r="A20" s="1213" t="e">
        <f>+#REF!/12</f>
        <v>#REF!</v>
      </c>
      <c r="B20" s="444"/>
      <c r="C20" s="1226"/>
      <c r="D20" s="587" t="s">
        <v>250</v>
      </c>
      <c r="E20" s="1227">
        <v>1</v>
      </c>
      <c r="F20" s="1215">
        <v>6694999.90146</v>
      </c>
      <c r="G20" s="1215">
        <v>100841336.91010548</v>
      </c>
      <c r="H20" s="1228"/>
      <c r="I20" s="587" t="s">
        <v>250</v>
      </c>
      <c r="J20" s="1227">
        <v>1</v>
      </c>
      <c r="K20" s="1215">
        <f>+'Nómina y honorarios 2011'!J26</f>
        <v>6962800</v>
      </c>
      <c r="L20" s="1257">
        <f>+'Nómina y honorarios 2011'!Y26</f>
        <v>104874991.93010667</v>
      </c>
      <c r="M20" s="426"/>
      <c r="N20" s="1217">
        <f aca="true" t="shared" si="2" ref="N20:N32">+(K20-F20)/F20</f>
        <v>0.040000015307184646</v>
      </c>
      <c r="O20" s="1217">
        <f t="shared" si="1"/>
        <v>0.040000015307184694</v>
      </c>
    </row>
    <row r="21" spans="1:15" ht="12.75">
      <c r="A21" s="1213" t="e">
        <f>+#REF!/12</f>
        <v>#REF!</v>
      </c>
      <c r="B21" s="444"/>
      <c r="C21" s="1203"/>
      <c r="D21" s="587" t="s">
        <v>402</v>
      </c>
      <c r="E21" s="1227">
        <v>1</v>
      </c>
      <c r="F21" s="1215">
        <v>3459437.1</v>
      </c>
      <c r="G21" s="1215">
        <v>63190011.1861494</v>
      </c>
      <c r="H21" s="1228"/>
      <c r="I21" s="587" t="s">
        <v>402</v>
      </c>
      <c r="J21" s="1227">
        <v>1</v>
      </c>
      <c r="K21" s="1215">
        <f>+'Nómina y honorarios 2011'!J27</f>
        <v>3569101.1529</v>
      </c>
      <c r="L21" s="1257">
        <f>+'Nómina y honorarios 2011'!Y27</f>
        <v>65193132.65624912</v>
      </c>
      <c r="M21" s="426"/>
      <c r="N21" s="1217">
        <f t="shared" si="2"/>
        <v>0.03169997017722912</v>
      </c>
      <c r="O21" s="1217">
        <f t="shared" si="1"/>
        <v>0.031699970177229225</v>
      </c>
    </row>
    <row r="22" spans="1:15" ht="12.75">
      <c r="A22" s="1213" t="e">
        <f>+#REF!/12</f>
        <v>#REF!</v>
      </c>
      <c r="B22" s="444"/>
      <c r="C22" s="1203"/>
      <c r="D22" s="587" t="s">
        <v>649</v>
      </c>
      <c r="E22" s="1227">
        <v>1</v>
      </c>
      <c r="F22" s="1215">
        <v>3459437.1</v>
      </c>
      <c r="G22" s="1215">
        <v>63190011.1861494</v>
      </c>
      <c r="H22" s="1228"/>
      <c r="I22" s="587" t="s">
        <v>649</v>
      </c>
      <c r="J22" s="1227">
        <v>1</v>
      </c>
      <c r="K22" s="1215">
        <f>+'Nómina y honorarios 2011'!J28</f>
        <v>3569101.1529</v>
      </c>
      <c r="L22" s="1257">
        <f>+'Nómina y honorarios 2011'!Y28</f>
        <v>65193132.65624912</v>
      </c>
      <c r="M22" s="426"/>
      <c r="N22" s="1217">
        <f t="shared" si="2"/>
        <v>0.03169997017722912</v>
      </c>
      <c r="O22" s="1217">
        <f t="shared" si="1"/>
        <v>0.031699970177229225</v>
      </c>
    </row>
    <row r="23" spans="1:15" ht="12.75">
      <c r="A23" s="1213"/>
      <c r="B23" s="444"/>
      <c r="C23" s="1203"/>
      <c r="D23" s="587" t="s">
        <v>847</v>
      </c>
      <c r="E23" s="1227">
        <v>1</v>
      </c>
      <c r="F23" s="1215">
        <v>3459437.1</v>
      </c>
      <c r="G23" s="1215">
        <v>63190011.1861494</v>
      </c>
      <c r="H23" s="1228"/>
      <c r="I23" s="587" t="s">
        <v>847</v>
      </c>
      <c r="J23" s="1227">
        <v>1</v>
      </c>
      <c r="K23" s="1215">
        <f>+'Nómina y honorarios 2011'!J29</f>
        <v>3569101.1529</v>
      </c>
      <c r="L23" s="1257">
        <f>+'Nómina y honorarios 2011'!Y29</f>
        <v>65193132.65624912</v>
      </c>
      <c r="M23" s="426"/>
      <c r="N23" s="1217">
        <f t="shared" si="2"/>
        <v>0.03169997017722912</v>
      </c>
      <c r="O23" s="1217">
        <f t="shared" si="1"/>
        <v>0.031699970177229225</v>
      </c>
    </row>
    <row r="24" spans="1:15" ht="12.75">
      <c r="A24" s="1213" t="e">
        <f>+#REF!/12</f>
        <v>#REF!</v>
      </c>
      <c r="B24" s="444"/>
      <c r="C24" s="1226"/>
      <c r="D24" s="588" t="s">
        <v>392</v>
      </c>
      <c r="E24" s="1227">
        <v>1</v>
      </c>
      <c r="F24" s="1215">
        <v>2799970.38</v>
      </c>
      <c r="G24" s="1215">
        <v>51144204.82831932</v>
      </c>
      <c r="H24" s="1228"/>
      <c r="I24" s="588" t="s">
        <v>392</v>
      </c>
      <c r="J24" s="1227">
        <v>1</v>
      </c>
      <c r="K24" s="1215">
        <f>+'Nómina y honorarios 2011'!J30</f>
        <v>2888729.049</v>
      </c>
      <c r="L24" s="1257">
        <f>+'Nómina y honorarios 2011'!Y30</f>
        <v>52765468.960272394</v>
      </c>
      <c r="M24" s="426"/>
      <c r="N24" s="1217">
        <f t="shared" si="2"/>
        <v>0.03169985998209032</v>
      </c>
      <c r="O24" s="1217">
        <f t="shared" si="1"/>
        <v>0.03169985998209043</v>
      </c>
    </row>
    <row r="25" spans="1:15" ht="12.75">
      <c r="A25" s="1218"/>
      <c r="B25" s="444"/>
      <c r="C25" s="1226"/>
      <c r="D25" s="588" t="s">
        <v>25</v>
      </c>
      <c r="E25" s="1227">
        <v>1</v>
      </c>
      <c r="F25" s="1215">
        <v>2799970.38</v>
      </c>
      <c r="G25" s="1215">
        <v>51144204.82831932</v>
      </c>
      <c r="H25" s="1228"/>
      <c r="I25" s="588" t="s">
        <v>25</v>
      </c>
      <c r="J25" s="1227">
        <v>1</v>
      </c>
      <c r="K25" s="1215">
        <f>+'Nómina y honorarios 2011'!J31</f>
        <v>2888729.049</v>
      </c>
      <c r="L25" s="1257">
        <f>+'Nómina y honorarios 2011'!Y31</f>
        <v>52946921.58675628</v>
      </c>
      <c r="M25" s="426"/>
      <c r="N25" s="1217">
        <f t="shared" si="2"/>
        <v>0.03169985998209032</v>
      </c>
      <c r="O25" s="1217">
        <f t="shared" si="1"/>
        <v>0.03524772287472874</v>
      </c>
    </row>
    <row r="26" spans="1:15" ht="12.75">
      <c r="A26" s="1218"/>
      <c r="B26" s="444"/>
      <c r="C26" s="1226"/>
      <c r="D26" s="587" t="s">
        <v>642</v>
      </c>
      <c r="E26" s="1227">
        <v>1</v>
      </c>
      <c r="F26" s="1215">
        <v>1256612.46</v>
      </c>
      <c r="G26" s="1215">
        <v>22953258.89985244</v>
      </c>
      <c r="H26" s="1228"/>
      <c r="I26" s="587" t="s">
        <v>642</v>
      </c>
      <c r="J26" s="1227">
        <v>1</v>
      </c>
      <c r="K26" s="1215">
        <f>+'Nómina y honorarios 2011'!J32</f>
        <v>1296446.6004</v>
      </c>
      <c r="L26" s="1257">
        <f>+'Nómina y honorarios 2011'!Y32</f>
        <v>23680868.53827213</v>
      </c>
      <c r="M26" s="426"/>
      <c r="N26" s="1217">
        <f t="shared" si="2"/>
        <v>0.03169962233225043</v>
      </c>
      <c r="O26" s="1217">
        <f t="shared" si="1"/>
        <v>0.031699622332250564</v>
      </c>
    </row>
    <row r="27" spans="1:15" ht="12.75">
      <c r="A27" s="1218"/>
      <c r="B27" s="444"/>
      <c r="C27" s="1226"/>
      <c r="D27" s="587" t="s">
        <v>393</v>
      </c>
      <c r="E27" s="902">
        <v>11</v>
      </c>
      <c r="F27" s="1215">
        <f>16587872.4/E27</f>
        <v>1507988.4000000001</v>
      </c>
      <c r="G27" s="1215">
        <v>304035707.17646724</v>
      </c>
      <c r="H27" s="1229"/>
      <c r="I27" s="587" t="s">
        <v>393</v>
      </c>
      <c r="J27" s="902">
        <v>11</v>
      </c>
      <c r="K27" s="1215">
        <f>+'Nómina y honorarios 2011'!J33/'Comparativo nómina 2010-2011'!J27</f>
        <v>1555791.2196000002</v>
      </c>
      <c r="L27" s="1257">
        <f>+'Nómina y honorarios 2011'!Y33</f>
        <v>313673555.8907644</v>
      </c>
      <c r="M27" s="426"/>
      <c r="N27" s="1217">
        <f t="shared" si="2"/>
        <v>0.03169972633741748</v>
      </c>
      <c r="O27" s="1217">
        <f t="shared" si="1"/>
        <v>0.031699726337417376</v>
      </c>
    </row>
    <row r="28" spans="1:15" ht="12.75">
      <c r="A28" s="1218"/>
      <c r="B28" s="444"/>
      <c r="C28" s="1226"/>
      <c r="D28" s="554"/>
      <c r="E28" s="1227"/>
      <c r="F28" s="1215"/>
      <c r="G28" s="1215"/>
      <c r="H28" s="1228"/>
      <c r="I28" s="588"/>
      <c r="J28" s="902"/>
      <c r="K28" s="1215"/>
      <c r="L28" s="1215"/>
      <c r="M28" s="426"/>
      <c r="N28" s="1217"/>
      <c r="O28" s="1217"/>
    </row>
    <row r="29" spans="1:15" ht="12.75">
      <c r="A29" s="1218"/>
      <c r="B29" s="444"/>
      <c r="C29" s="1226"/>
      <c r="D29" s="1223" t="s">
        <v>627</v>
      </c>
      <c r="E29" s="1227"/>
      <c r="F29" s="1215"/>
      <c r="G29" s="1225">
        <f>+G30+G31+G32</f>
        <v>77231766.02648214</v>
      </c>
      <c r="H29" s="1228"/>
      <c r="I29" s="1223" t="s">
        <v>627</v>
      </c>
      <c r="J29" s="1223"/>
      <c r="K29" s="1223"/>
      <c r="L29" s="912">
        <f>+L30+L31+L32</f>
        <v>79682205.31664509</v>
      </c>
      <c r="M29" s="426"/>
      <c r="N29" s="1217"/>
      <c r="O29" s="1217"/>
    </row>
    <row r="30" spans="1:15" ht="12.75">
      <c r="A30" s="1218"/>
      <c r="B30" s="444"/>
      <c r="C30" s="1226"/>
      <c r="D30" s="587" t="s">
        <v>547</v>
      </c>
      <c r="E30" s="1227">
        <v>1</v>
      </c>
      <c r="F30" s="1215">
        <v>1989000</v>
      </c>
      <c r="G30" s="1215">
        <v>36331035.546000004</v>
      </c>
      <c r="H30" s="1228"/>
      <c r="I30" s="587" t="s">
        <v>547</v>
      </c>
      <c r="J30" s="902">
        <v>1</v>
      </c>
      <c r="K30" s="1215">
        <f>+'Nómina y honorarios 2011'!J36</f>
        <v>2052051.3</v>
      </c>
      <c r="L30" s="1215">
        <f>+'Nómina y honorarios 2011'!Y36</f>
        <v>37482729.3728082</v>
      </c>
      <c r="M30" s="426"/>
      <c r="N30" s="1217">
        <f t="shared" si="2"/>
        <v>0.03170000000000003</v>
      </c>
      <c r="O30" s="1217">
        <f t="shared" si="1"/>
        <v>0.03169999999999998</v>
      </c>
    </row>
    <row r="31" spans="1:15" ht="12.75">
      <c r="A31" s="1218"/>
      <c r="B31" s="444"/>
      <c r="C31" s="1226"/>
      <c r="D31" s="587" t="s">
        <v>545</v>
      </c>
      <c r="E31" s="1227">
        <v>1</v>
      </c>
      <c r="F31" s="1215">
        <v>1482615.9</v>
      </c>
      <c r="G31" s="1215">
        <v>27081433.3654926</v>
      </c>
      <c r="H31" s="1228"/>
      <c r="I31" s="587" t="s">
        <v>545</v>
      </c>
      <c r="J31" s="1227">
        <v>1</v>
      </c>
      <c r="K31" s="1215">
        <f>+'Nómina y honorarios 2011'!J37</f>
        <v>1529614.9272</v>
      </c>
      <c r="L31" s="1215">
        <f>+'Nómina y honorarios 2011'!Y37</f>
        <v>27939916.687679943</v>
      </c>
      <c r="M31" s="426"/>
      <c r="N31" s="1217">
        <f t="shared" si="2"/>
        <v>0.03170006958646547</v>
      </c>
      <c r="O31" s="1217">
        <f t="shared" si="1"/>
        <v>0.031700069586465415</v>
      </c>
    </row>
    <row r="32" spans="1:15" ht="12.75">
      <c r="A32" s="1218"/>
      <c r="B32" s="444"/>
      <c r="C32" s="1226"/>
      <c r="D32" s="587" t="s">
        <v>546</v>
      </c>
      <c r="E32" s="1227">
        <v>1</v>
      </c>
      <c r="F32" s="1215">
        <v>768722.9127399999</v>
      </c>
      <c r="G32" s="1215">
        <v>13819297.114989532</v>
      </c>
      <c r="H32" s="1228"/>
      <c r="I32" s="587" t="s">
        <v>546</v>
      </c>
      <c r="J32" s="1227">
        <v>1</v>
      </c>
      <c r="K32" s="1215">
        <f>+'Nómina y honorarios 2011'!J38</f>
        <v>793240.9374</v>
      </c>
      <c r="L32" s="1215">
        <f>+'Nómina y honorarios 2011'!Y38</f>
        <v>14259559.256156944</v>
      </c>
      <c r="M32" s="426"/>
      <c r="N32" s="1217">
        <f t="shared" si="2"/>
        <v>0.03189448922838688</v>
      </c>
      <c r="O32" s="1217">
        <f t="shared" si="1"/>
        <v>0.03185850463334112</v>
      </c>
    </row>
    <row r="33" spans="1:15" ht="12.75">
      <c r="A33" s="1218"/>
      <c r="B33" s="444"/>
      <c r="C33" s="1226"/>
      <c r="D33" s="587"/>
      <c r="E33" s="1227"/>
      <c r="F33" s="1215"/>
      <c r="G33" s="1215"/>
      <c r="H33" s="1228"/>
      <c r="I33" s="587"/>
      <c r="J33" s="1227"/>
      <c r="K33" s="1215"/>
      <c r="L33" s="1215"/>
      <c r="M33" s="426"/>
      <c r="N33" s="1217"/>
      <c r="O33" s="1217"/>
    </row>
    <row r="34" spans="1:15" ht="12.75">
      <c r="A34" s="1218"/>
      <c r="B34" s="444"/>
      <c r="C34" s="1226"/>
      <c r="D34" s="1223" t="s">
        <v>628</v>
      </c>
      <c r="E34" s="1258"/>
      <c r="F34" s="1259"/>
      <c r="G34" s="1225">
        <f>+G35+G36+G37</f>
        <v>77231766.02648214</v>
      </c>
      <c r="H34" s="1228"/>
      <c r="I34" s="1223" t="s">
        <v>628</v>
      </c>
      <c r="J34" s="1223"/>
      <c r="K34" s="1223"/>
      <c r="L34" s="912">
        <f>+L35+L36+L37</f>
        <v>57005214.11042024</v>
      </c>
      <c r="M34" s="426"/>
      <c r="N34" s="1217"/>
      <c r="O34" s="1217"/>
    </row>
    <row r="35" spans="1:15" ht="12.75">
      <c r="A35" s="1218"/>
      <c r="B35" s="444"/>
      <c r="C35" s="1226"/>
      <c r="D35" s="587" t="s">
        <v>547</v>
      </c>
      <c r="E35" s="1227">
        <v>1</v>
      </c>
      <c r="F35" s="1215">
        <v>1989000</v>
      </c>
      <c r="G35" s="1257">
        <v>36331035.546000004</v>
      </c>
      <c r="H35" s="1228"/>
      <c r="I35" s="587" t="s">
        <v>547</v>
      </c>
      <c r="J35" s="1227">
        <v>1</v>
      </c>
      <c r="K35" s="1215">
        <f>+'Nómina y honorarios 2011'!J41</f>
        <v>2052051.3</v>
      </c>
      <c r="L35" s="1257">
        <f>+'Nómina y honorarios 2011'!Y41</f>
        <v>26810256.8076642</v>
      </c>
      <c r="M35" s="426"/>
      <c r="N35" s="1217">
        <f aca="true" t="shared" si="3" ref="N35:O37">+(K35-F35)/F35</f>
        <v>0.03170000000000003</v>
      </c>
      <c r="O35" s="1217">
        <f t="shared" si="3"/>
        <v>-0.2620563547185769</v>
      </c>
    </row>
    <row r="36" spans="1:15" ht="12.75">
      <c r="A36" s="1218"/>
      <c r="B36" s="444"/>
      <c r="C36" s="1226"/>
      <c r="D36" s="587" t="s">
        <v>545</v>
      </c>
      <c r="E36" s="1227">
        <v>1</v>
      </c>
      <c r="F36" s="1215">
        <v>1482615.9</v>
      </c>
      <c r="G36" s="1257">
        <v>27081433.3654926</v>
      </c>
      <c r="H36" s="1228"/>
      <c r="I36" s="587" t="s">
        <v>545</v>
      </c>
      <c r="J36" s="1227">
        <v>1</v>
      </c>
      <c r="K36" s="1215">
        <f>+'Nómina y honorarios 2011'!H42</f>
        <v>1529614.9272</v>
      </c>
      <c r="L36" s="1257">
        <f>+'Nómina y honorarios 2011'!Y42</f>
        <v>19984573.005104005</v>
      </c>
      <c r="M36" s="426"/>
      <c r="N36" s="1217">
        <f t="shared" si="3"/>
        <v>0.03170006958646547</v>
      </c>
      <c r="O36" s="1217">
        <f t="shared" si="3"/>
        <v>-0.26205630494549365</v>
      </c>
    </row>
    <row r="37" spans="1:15" ht="12.75">
      <c r="A37" s="1218"/>
      <c r="B37" s="444"/>
      <c r="C37" s="1226"/>
      <c r="D37" s="587" t="s">
        <v>546</v>
      </c>
      <c r="E37" s="1227">
        <v>1</v>
      </c>
      <c r="F37" s="1215">
        <v>768722.9127399999</v>
      </c>
      <c r="G37" s="1257">
        <v>13819297.114989532</v>
      </c>
      <c r="H37" s="1228"/>
      <c r="I37" s="587" t="s">
        <v>546</v>
      </c>
      <c r="J37" s="1227">
        <v>1</v>
      </c>
      <c r="K37" s="1215">
        <f>+'Nómina y honorarios 2011'!J43</f>
        <v>793240.9374</v>
      </c>
      <c r="L37" s="1257">
        <f>+'Nómina y honorarios 2011'!Y43</f>
        <v>10210384.297652032</v>
      </c>
      <c r="M37" s="426"/>
      <c r="N37" s="1217">
        <f t="shared" si="3"/>
        <v>0.03189448922838688</v>
      </c>
      <c r="O37" s="1217">
        <f t="shared" si="3"/>
        <v>-0.2611502442785589</v>
      </c>
    </row>
    <row r="38" spans="1:15" ht="12.75">
      <c r="A38" s="1218"/>
      <c r="B38" s="444"/>
      <c r="C38" s="1226"/>
      <c r="D38" s="584"/>
      <c r="E38" s="1230"/>
      <c r="F38" s="1228"/>
      <c r="G38" s="1228"/>
      <c r="H38" s="1228"/>
      <c r="I38" s="584"/>
      <c r="J38" s="1230"/>
      <c r="K38" s="1228"/>
      <c r="L38" s="1228"/>
      <c r="M38" s="426"/>
      <c r="N38" s="1231"/>
      <c r="O38" s="1231"/>
    </row>
    <row r="39" spans="1:15" ht="16.5" customHeight="1">
      <c r="A39" s="444"/>
      <c r="B39" s="444"/>
      <c r="C39" s="1203"/>
      <c r="D39" s="487" t="s">
        <v>27</v>
      </c>
      <c r="E39" s="1414" t="s">
        <v>91</v>
      </c>
      <c r="F39" s="1415"/>
      <c r="G39" s="1204">
        <f>+G40</f>
        <v>240065203.6036474</v>
      </c>
      <c r="H39" s="1205"/>
      <c r="I39" s="487" t="s">
        <v>27</v>
      </c>
      <c r="J39" s="1414" t="s">
        <v>91</v>
      </c>
      <c r="K39" s="1415"/>
      <c r="L39" s="1204">
        <f>+L40</f>
        <v>260774021.3410573</v>
      </c>
      <c r="M39" s="426"/>
      <c r="N39" s="1206" t="s">
        <v>845</v>
      </c>
      <c r="O39" s="1206" t="s">
        <v>846</v>
      </c>
    </row>
    <row r="40" spans="1:15" ht="12.75">
      <c r="A40" s="494" t="e">
        <f>SUM(A41:A45)</f>
        <v>#REF!</v>
      </c>
      <c r="B40" s="494"/>
      <c r="C40" s="429"/>
      <c r="D40" s="492" t="s">
        <v>11</v>
      </c>
      <c r="E40" s="1224">
        <v>5</v>
      </c>
      <c r="F40" s="1210">
        <v>14979742.7542</v>
      </c>
      <c r="G40" s="1210">
        <v>240065203.6036474</v>
      </c>
      <c r="H40" s="1233"/>
      <c r="I40" s="492" t="str">
        <f>+D40</f>
        <v>COMERCIALIZACIÓN</v>
      </c>
      <c r="J40" s="1232">
        <f>SUM(J41:J45)</f>
        <v>5</v>
      </c>
      <c r="K40" s="1210">
        <f>SUM(K41:K45)</f>
        <v>15510317.7397</v>
      </c>
      <c r="L40" s="1225">
        <f>SUM(L41:L45)</f>
        <v>260774021.3410573</v>
      </c>
      <c r="N40" s="1212">
        <f aca="true" t="shared" si="4" ref="N40:O45">+(K40-F40)/F40</f>
        <v>0.035419499133337154</v>
      </c>
      <c r="O40" s="1212">
        <f t="shared" si="4"/>
        <v>0.08626330441291515</v>
      </c>
    </row>
    <row r="41" spans="1:15" ht="12.75">
      <c r="A41" s="1213" t="e">
        <f>+#REF!/12</f>
        <v>#REF!</v>
      </c>
      <c r="B41" s="1213">
        <v>42105401</v>
      </c>
      <c r="C41" s="429"/>
      <c r="D41" s="587" t="s">
        <v>250</v>
      </c>
      <c r="E41" s="1227">
        <v>1</v>
      </c>
      <c r="F41" s="1215">
        <v>6694999.90146</v>
      </c>
      <c r="G41" s="1215">
        <v>88958431.57433671</v>
      </c>
      <c r="H41" s="1234"/>
      <c r="I41" s="587" t="s">
        <v>250</v>
      </c>
      <c r="J41" s="1227">
        <v>1</v>
      </c>
      <c r="K41" s="1215">
        <f>+'Nómina y honorarios 2011'!J51</f>
        <v>6962800</v>
      </c>
      <c r="L41" s="1215">
        <f>+'Nómina y honorarios 2011'!Y51</f>
        <v>104874991.93010667</v>
      </c>
      <c r="N41" s="1217">
        <f t="shared" si="4"/>
        <v>0.040000015307184646</v>
      </c>
      <c r="O41" s="1217">
        <f t="shared" si="4"/>
        <v>0.17892132397219188</v>
      </c>
    </row>
    <row r="42" spans="1:15" ht="12.75">
      <c r="A42" s="1213" t="e">
        <f>+#REF!/12</f>
        <v>#REF!</v>
      </c>
      <c r="B42" s="1213"/>
      <c r="C42" s="429"/>
      <c r="D42" s="587" t="s">
        <v>419</v>
      </c>
      <c r="E42" s="1227">
        <v>1</v>
      </c>
      <c r="F42" s="1215">
        <v>3459437.1</v>
      </c>
      <c r="G42" s="1215">
        <v>63190011.1861494</v>
      </c>
      <c r="H42" s="1234"/>
      <c r="I42" s="587" t="s">
        <v>419</v>
      </c>
      <c r="J42" s="1227">
        <v>1</v>
      </c>
      <c r="K42" s="1215">
        <f>+'Nómina y honorarios 2011'!J52</f>
        <v>3569101.1529</v>
      </c>
      <c r="L42" s="1215">
        <f>+'Nómina y honorarios 2011'!Y52</f>
        <v>65193132.65624912</v>
      </c>
      <c r="N42" s="1217">
        <f t="shared" si="4"/>
        <v>0.03169997017722912</v>
      </c>
      <c r="O42" s="1217">
        <f t="shared" si="4"/>
        <v>0.031699970177229225</v>
      </c>
    </row>
    <row r="43" spans="1:15" ht="12.75">
      <c r="A43" s="1213" t="e">
        <f>+#REF!/12</f>
        <v>#REF!</v>
      </c>
      <c r="B43" s="1213"/>
      <c r="C43" s="429"/>
      <c r="D43" s="587" t="s">
        <v>421</v>
      </c>
      <c r="E43" s="1227">
        <v>1</v>
      </c>
      <c r="F43" s="1215">
        <v>2799970.38</v>
      </c>
      <c r="G43" s="1215">
        <v>51144204.82831932</v>
      </c>
      <c r="H43" s="1234"/>
      <c r="I43" s="587" t="s">
        <v>421</v>
      </c>
      <c r="J43" s="1227">
        <v>1</v>
      </c>
      <c r="K43" s="1215">
        <f>+'Nómina y honorarios 2011'!J53</f>
        <v>2888729.049</v>
      </c>
      <c r="L43" s="1215">
        <f>+'Nómina y honorarios 2011'!Y53</f>
        <v>52765468.960272394</v>
      </c>
      <c r="N43" s="1217">
        <f t="shared" si="4"/>
        <v>0.03169985998209032</v>
      </c>
      <c r="O43" s="1217">
        <f t="shared" si="4"/>
        <v>0.03169985998209043</v>
      </c>
    </row>
    <row r="44" spans="1:15" ht="12.75">
      <c r="A44" s="1213" t="e">
        <f>+#REF!/12</f>
        <v>#REF!</v>
      </c>
      <c r="B44" s="1213"/>
      <c r="C44" s="429"/>
      <c r="D44" s="587" t="s">
        <v>643</v>
      </c>
      <c r="E44" s="1227">
        <v>1</v>
      </c>
      <c r="F44" s="1215">
        <v>1256612.46</v>
      </c>
      <c r="G44" s="1215">
        <v>22953258.89985244</v>
      </c>
      <c r="H44" s="1234"/>
      <c r="I44" s="587" t="s">
        <v>643</v>
      </c>
      <c r="J44" s="1227">
        <v>1</v>
      </c>
      <c r="K44" s="1215">
        <f>+'Nómina y honorarios 2011'!J54</f>
        <v>1296446.6004</v>
      </c>
      <c r="L44" s="1215">
        <f>+'Nómina y honorarios 2011'!Y54</f>
        <v>23680868.53827213</v>
      </c>
      <c r="N44" s="1217">
        <f t="shared" si="4"/>
        <v>0.03169962233225043</v>
      </c>
      <c r="O44" s="1217">
        <f t="shared" si="4"/>
        <v>0.031699622332250564</v>
      </c>
    </row>
    <row r="45" spans="1:15" ht="12.75">
      <c r="A45" s="1213" t="e">
        <f>+#REF!/12</f>
        <v>#REF!</v>
      </c>
      <c r="B45" s="1213">
        <v>10082312</v>
      </c>
      <c r="C45" s="429"/>
      <c r="D45" s="587" t="s">
        <v>18</v>
      </c>
      <c r="E45" s="1227">
        <v>1</v>
      </c>
      <c r="F45" s="1215">
        <v>768722.9127399999</v>
      </c>
      <c r="G45" s="1215">
        <v>13819297.114989532</v>
      </c>
      <c r="H45" s="1234"/>
      <c r="I45" s="587" t="s">
        <v>18</v>
      </c>
      <c r="J45" s="1227">
        <v>1</v>
      </c>
      <c r="K45" s="1215">
        <f>+'Nómina y honorarios 2011'!J55</f>
        <v>793240.9374</v>
      </c>
      <c r="L45" s="1215">
        <f>+'Nómina y honorarios 2011'!Y55</f>
        <v>14259559.256156944</v>
      </c>
      <c r="N45" s="1217">
        <f t="shared" si="4"/>
        <v>0.03189448922838688</v>
      </c>
      <c r="O45" s="1217">
        <f t="shared" si="4"/>
        <v>0.03185850463334112</v>
      </c>
    </row>
    <row r="46" spans="1:10" ht="12.75">
      <c r="A46" s="1218"/>
      <c r="B46" s="1218"/>
      <c r="C46" s="429"/>
      <c r="D46" s="429"/>
      <c r="E46" s="375"/>
      <c r="I46" s="429"/>
      <c r="J46" s="375"/>
    </row>
    <row r="47" spans="1:10" ht="12.75">
      <c r="A47" s="1218"/>
      <c r="B47" s="1218"/>
      <c r="C47" s="429"/>
      <c r="D47" s="429"/>
      <c r="E47" s="375"/>
      <c r="G47" s="1228"/>
      <c r="I47" s="429"/>
      <c r="J47" s="375"/>
    </row>
    <row r="48" spans="1:15" ht="16.5" customHeight="1">
      <c r="A48" s="1178"/>
      <c r="B48" s="1178"/>
      <c r="C48" s="1201"/>
      <c r="D48" s="487" t="s">
        <v>28</v>
      </c>
      <c r="E48" s="1414" t="s">
        <v>91</v>
      </c>
      <c r="F48" s="1415"/>
      <c r="G48" s="1235">
        <f>+G49</f>
        <v>201718180.97336724</v>
      </c>
      <c r="H48" s="1211"/>
      <c r="I48" s="487" t="s">
        <v>28</v>
      </c>
      <c r="J48" s="1414" t="s">
        <v>91</v>
      </c>
      <c r="K48" s="1415"/>
      <c r="L48" s="1235">
        <f>+L49</f>
        <v>262352153.86158887</v>
      </c>
      <c r="N48" s="1206" t="s">
        <v>845</v>
      </c>
      <c r="O48" s="1206" t="s">
        <v>846</v>
      </c>
    </row>
    <row r="49" spans="1:15" ht="12.75">
      <c r="A49" s="494" t="e">
        <f>SUM(A50:A55)</f>
        <v>#REF!</v>
      </c>
      <c r="B49" s="494"/>
      <c r="C49" s="429"/>
      <c r="D49" s="492" t="s">
        <v>12</v>
      </c>
      <c r="E49" s="1224">
        <f>+E50+E51+E52+E54</f>
        <v>4</v>
      </c>
      <c r="F49" s="1210">
        <f>SUM(F50:F55)</f>
        <v>13723130.2942</v>
      </c>
      <c r="G49" s="1210">
        <f>SUM(G50:G55)</f>
        <v>201718180.97336724</v>
      </c>
      <c r="H49" s="1236"/>
      <c r="I49" s="1237" t="str">
        <f>+D49</f>
        <v>PRODUCTIVIDAD DE EMPRESA</v>
      </c>
      <c r="J49" s="1224">
        <f>SUM(J50:J55)</f>
        <v>5</v>
      </c>
      <c r="K49" s="1210">
        <f>SUM(K50:K55)</f>
        <v>15743486.0665</v>
      </c>
      <c r="L49" s="1210">
        <f>SUM(L50:L55)</f>
        <v>262352153.86158887</v>
      </c>
      <c r="N49" s="1212">
        <f aca="true" t="shared" si="5" ref="N49:O54">+(K49-F49)/F49</f>
        <v>0.14722266195737374</v>
      </c>
      <c r="O49" s="1212">
        <f t="shared" si="5"/>
        <v>0.3005875454341277</v>
      </c>
    </row>
    <row r="50" spans="1:15" ht="12.75">
      <c r="A50" s="1213" t="e">
        <f>+#REF!/12</f>
        <v>#REF!</v>
      </c>
      <c r="B50" s="454"/>
      <c r="C50" s="1201"/>
      <c r="D50" s="1238" t="s">
        <v>544</v>
      </c>
      <c r="E50" s="1239">
        <v>1</v>
      </c>
      <c r="F50" s="1215">
        <v>6694999.90146</v>
      </c>
      <c r="G50" s="1215">
        <v>73564667.84390901</v>
      </c>
      <c r="H50" s="1240"/>
      <c r="I50" s="1238" t="s">
        <v>544</v>
      </c>
      <c r="J50" s="1239">
        <v>1</v>
      </c>
      <c r="K50" s="1215">
        <f>+'Nómina y honorarios 2011'!J60</f>
        <v>6962800</v>
      </c>
      <c r="L50" s="1215">
        <f>+'Nómina y honorarios 2011'!Y60</f>
        <v>104874991.93010667</v>
      </c>
      <c r="N50" s="1217">
        <f t="shared" si="5"/>
        <v>0.040000015307184646</v>
      </c>
      <c r="O50" s="1217">
        <f t="shared" si="5"/>
        <v>0.42561633191401793</v>
      </c>
    </row>
    <row r="51" spans="1:15" ht="12.75">
      <c r="A51" s="1213"/>
      <c r="B51" s="454"/>
      <c r="C51" s="1201"/>
      <c r="D51" s="587" t="s">
        <v>403</v>
      </c>
      <c r="E51" s="1239">
        <v>1</v>
      </c>
      <c r="F51" s="1215">
        <v>3459437.1</v>
      </c>
      <c r="G51" s="1215">
        <v>63190011.1861494</v>
      </c>
      <c r="H51" s="1240"/>
      <c r="I51" s="587" t="s">
        <v>403</v>
      </c>
      <c r="J51" s="1239">
        <v>1</v>
      </c>
      <c r="K51" s="1215">
        <f>+'Nómina y honorarios 2011'!J61</f>
        <v>3569101.1529</v>
      </c>
      <c r="L51" s="1215">
        <f>+'Nómina y honorarios 2011'!Y61</f>
        <v>65193132.65624912</v>
      </c>
      <c r="N51" s="1217">
        <f t="shared" si="5"/>
        <v>0.03169997017722912</v>
      </c>
      <c r="O51" s="1217">
        <f t="shared" si="5"/>
        <v>0.031699970177229225</v>
      </c>
    </row>
    <row r="52" spans="1:15" ht="12.75">
      <c r="A52" s="1213"/>
      <c r="B52" s="454"/>
      <c r="C52" s="1201"/>
      <c r="D52" s="587" t="s">
        <v>436</v>
      </c>
      <c r="E52" s="1239">
        <v>1</v>
      </c>
      <c r="F52" s="1215">
        <v>2799970.38</v>
      </c>
      <c r="G52" s="1215">
        <v>51144204.82831932</v>
      </c>
      <c r="H52" s="1240"/>
      <c r="I52" s="587" t="s">
        <v>436</v>
      </c>
      <c r="J52" s="1239">
        <v>1</v>
      </c>
      <c r="K52" s="1215">
        <f>+'Nómina y honorarios 2011'!J62</f>
        <v>2888729.049</v>
      </c>
      <c r="L52" s="1215">
        <f>+'Nómina y honorarios 2011'!Y62</f>
        <v>51012676.76103003</v>
      </c>
      <c r="N52" s="1217">
        <f t="shared" si="5"/>
        <v>0.03169985998209032</v>
      </c>
      <c r="O52" s="1217">
        <f t="shared" si="5"/>
        <v>-0.002571710083885326</v>
      </c>
    </row>
    <row r="53" spans="1:15" ht="12.75">
      <c r="A53" s="1213"/>
      <c r="B53" s="454"/>
      <c r="C53" s="1201"/>
      <c r="D53" s="554"/>
      <c r="E53" s="1239"/>
      <c r="F53" s="1215"/>
      <c r="G53" s="1215"/>
      <c r="H53" s="1240"/>
      <c r="I53" s="554" t="s">
        <v>674</v>
      </c>
      <c r="J53" s="1239">
        <v>1</v>
      </c>
      <c r="K53" s="1215">
        <f>+'Nómina y honorarios 2011'!J63</f>
        <v>1529614.9272</v>
      </c>
      <c r="L53" s="1215">
        <f>+'Nómina y honorarios 2011'!Y63</f>
        <v>27011793.258046083</v>
      </c>
      <c r="N53" s="1217">
        <v>1</v>
      </c>
      <c r="O53" s="1217">
        <v>1</v>
      </c>
    </row>
    <row r="54" spans="1:15" ht="12.75">
      <c r="A54" s="1213" t="e">
        <f>+#REF!/12</f>
        <v>#REF!</v>
      </c>
      <c r="B54" s="1213">
        <v>18896705</v>
      </c>
      <c r="C54" s="429"/>
      <c r="D54" s="587" t="s">
        <v>18</v>
      </c>
      <c r="E54" s="1239">
        <v>1</v>
      </c>
      <c r="F54" s="1215">
        <v>768722.9127399999</v>
      </c>
      <c r="G54" s="1215">
        <v>13819297.114989532</v>
      </c>
      <c r="H54" s="1240"/>
      <c r="I54" s="587" t="s">
        <v>18</v>
      </c>
      <c r="J54" s="1239">
        <v>1</v>
      </c>
      <c r="K54" s="1215">
        <f>+'Nómina y honorarios 2011'!J64</f>
        <v>793240.9374</v>
      </c>
      <c r="L54" s="1215">
        <f>+'Nómina y honorarios 2011'!Y64</f>
        <v>14259559.256156944</v>
      </c>
      <c r="N54" s="1217">
        <f t="shared" si="5"/>
        <v>0.03189448922838688</v>
      </c>
      <c r="O54" s="1217">
        <f t="shared" si="5"/>
        <v>0.03185850463334112</v>
      </c>
    </row>
    <row r="55" spans="1:11" ht="12.75">
      <c r="A55" s="1218"/>
      <c r="B55" s="1218"/>
      <c r="C55" s="429"/>
      <c r="D55" s="584"/>
      <c r="E55" s="586"/>
      <c r="F55" s="586"/>
      <c r="G55" s="586"/>
      <c r="I55" s="584"/>
      <c r="J55" s="375"/>
      <c r="K55" s="375"/>
    </row>
    <row r="56" spans="1:11" ht="12.75">
      <c r="A56" s="1218"/>
      <c r="B56" s="1218"/>
      <c r="C56" s="429"/>
      <c r="D56" s="584"/>
      <c r="E56" s="375"/>
      <c r="F56" s="375"/>
      <c r="I56" s="584"/>
      <c r="J56" s="375"/>
      <c r="K56" s="375"/>
    </row>
    <row r="57" spans="1:11" ht="12.75">
      <c r="A57" s="1218"/>
      <c r="B57" s="1218"/>
      <c r="C57" s="429"/>
      <c r="D57" s="429"/>
      <c r="E57" s="375"/>
      <c r="F57" s="375"/>
      <c r="G57" s="1229"/>
      <c r="I57" s="429"/>
      <c r="J57" s="375"/>
      <c r="K57" s="375"/>
    </row>
    <row r="58" spans="1:15" ht="16.5" customHeight="1">
      <c r="A58" s="1218"/>
      <c r="B58" s="1218"/>
      <c r="C58" s="1201"/>
      <c r="D58" s="487" t="s">
        <v>362</v>
      </c>
      <c r="E58" s="1416" t="s">
        <v>91</v>
      </c>
      <c r="F58" s="1417"/>
      <c r="G58" s="1204">
        <f>+G59</f>
        <v>883403440.6165621</v>
      </c>
      <c r="H58" s="1205"/>
      <c r="I58" s="487" t="s">
        <v>362</v>
      </c>
      <c r="J58" s="1418" t="s">
        <v>91</v>
      </c>
      <c r="K58" s="1419"/>
      <c r="L58" s="1204">
        <f>+L59</f>
        <v>880558586.6226203</v>
      </c>
      <c r="N58" s="1206" t="s">
        <v>845</v>
      </c>
      <c r="O58" s="1206" t="s">
        <v>846</v>
      </c>
    </row>
    <row r="59" spans="1:15" ht="12.75">
      <c r="A59" s="1241" t="e">
        <f>SUM(A60:A69)</f>
        <v>#REF!</v>
      </c>
      <c r="B59" s="1241"/>
      <c r="C59" s="429"/>
      <c r="D59" s="1242" t="s">
        <v>239</v>
      </c>
      <c r="E59" s="1243">
        <f>SUM(E60:E69)</f>
        <v>30</v>
      </c>
      <c r="F59" s="1221">
        <f>SUM(F60:F69)</f>
        <v>20031095.719680004</v>
      </c>
      <c r="G59" s="1221">
        <f>SUM(G60:G69)</f>
        <v>883403440.6165621</v>
      </c>
      <c r="H59" s="1222"/>
      <c r="I59" s="1242" t="s">
        <v>239</v>
      </c>
      <c r="J59" s="1243">
        <f>SUM(J60:J69)</f>
        <v>29</v>
      </c>
      <c r="K59" s="1221">
        <f>SUM(K60:K69)</f>
        <v>18998815.941999994</v>
      </c>
      <c r="L59" s="1244">
        <f>SUM(L60:L69)</f>
        <v>880558586.6226203</v>
      </c>
      <c r="M59" s="375"/>
      <c r="N59" s="1212">
        <f>+(K59-F59)/F59</f>
        <v>-0.051533864753380565</v>
      </c>
      <c r="O59" s="1212">
        <f>+(L59-G59)/G59</f>
        <v>-0.0032203338397190848</v>
      </c>
    </row>
    <row r="60" spans="1:15" ht="12.75">
      <c r="A60" s="1213" t="e">
        <f>+#REF!/12</f>
        <v>#REF!</v>
      </c>
      <c r="B60" s="454"/>
      <c r="C60" s="1201"/>
      <c r="D60" s="1245" t="s">
        <v>250</v>
      </c>
      <c r="E60" s="902">
        <v>1</v>
      </c>
      <c r="F60" s="1215">
        <v>6694999.90146</v>
      </c>
      <c r="G60" s="1215">
        <v>100841336.91010548</v>
      </c>
      <c r="H60" s="1240"/>
      <c r="I60" s="1245" t="s">
        <v>250</v>
      </c>
      <c r="J60" s="902">
        <v>1</v>
      </c>
      <c r="K60" s="1215">
        <f>+'Nómina y honorarios 2011'!J70</f>
        <v>6962800</v>
      </c>
      <c r="L60" s="1215">
        <f>+'Nómina y honorarios 2011'!Y70</f>
        <v>104874991.93010667</v>
      </c>
      <c r="N60" s="1217">
        <f aca="true" t="shared" si="6" ref="N60:O69">+(K60-F60)/F60</f>
        <v>0.040000015307184646</v>
      </c>
      <c r="O60" s="1217">
        <f t="shared" si="6"/>
        <v>0.040000015307184694</v>
      </c>
    </row>
    <row r="61" spans="1:15" ht="12.75">
      <c r="A61" s="1213" t="e">
        <f>+#REF!/12</f>
        <v>#REF!</v>
      </c>
      <c r="B61" s="1213">
        <f>294798628+18896705</f>
        <v>313695333</v>
      </c>
      <c r="C61" s="1201"/>
      <c r="D61" s="1245" t="s">
        <v>25</v>
      </c>
      <c r="E61" s="1227">
        <v>1</v>
      </c>
      <c r="F61" s="1215">
        <v>2799970.38</v>
      </c>
      <c r="G61" s="1215">
        <v>51320082.16776864</v>
      </c>
      <c r="H61" s="1240"/>
      <c r="I61" s="1245" t="s">
        <v>25</v>
      </c>
      <c r="J61" s="902">
        <v>1</v>
      </c>
      <c r="K61" s="1215">
        <f>+'Nómina y honorarios 2011'!J71</f>
        <v>2888729.049</v>
      </c>
      <c r="L61" s="1215">
        <f>+'Nómina y honorarios 2011'!Y71</f>
        <v>52946921.58675628</v>
      </c>
      <c r="N61" s="1217">
        <f t="shared" si="6"/>
        <v>0.03169985998209032</v>
      </c>
      <c r="O61" s="1217">
        <f t="shared" si="6"/>
        <v>0.03169985998209038</v>
      </c>
    </row>
    <row r="62" spans="1:15" ht="12.75">
      <c r="A62" s="1213"/>
      <c r="B62" s="1213"/>
      <c r="C62" s="1201"/>
      <c r="D62" s="1245" t="s">
        <v>644</v>
      </c>
      <c r="E62" s="1227">
        <v>1</v>
      </c>
      <c r="F62" s="1215">
        <v>2799970.38</v>
      </c>
      <c r="G62" s="1215">
        <v>51320082.16776864</v>
      </c>
      <c r="H62" s="1240"/>
      <c r="I62" s="1245" t="s">
        <v>644</v>
      </c>
      <c r="J62" s="902">
        <v>1</v>
      </c>
      <c r="K62" s="1215">
        <f>+'Nómina y honorarios 2011'!J72</f>
        <v>2888729.049</v>
      </c>
      <c r="L62" s="1215">
        <f>+'Nómina y honorarios 2011'!Y72</f>
        <v>52765468.960272394</v>
      </c>
      <c r="N62" s="1217">
        <f t="shared" si="6"/>
        <v>0.03169985998209032</v>
      </c>
      <c r="O62" s="1217">
        <f t="shared" si="6"/>
        <v>0.028164155851868856</v>
      </c>
    </row>
    <row r="63" spans="1:15" ht="12.75">
      <c r="A63" s="1213" t="e">
        <f>+#REF!/12</f>
        <v>#REF!</v>
      </c>
      <c r="B63" s="1213">
        <v>66481908</v>
      </c>
      <c r="C63" s="1201"/>
      <c r="D63" s="1245" t="s">
        <v>16</v>
      </c>
      <c r="E63" s="902">
        <v>17</v>
      </c>
      <c r="F63" s="1215">
        <f>25635802.8/E63</f>
        <v>1507988.4000000001</v>
      </c>
      <c r="G63" s="1215">
        <v>469873365.63635844</v>
      </c>
      <c r="H63" s="1240"/>
      <c r="I63" s="1245" t="s">
        <v>16</v>
      </c>
      <c r="J63" s="902">
        <v>17</v>
      </c>
      <c r="K63" s="1215">
        <f>+'Nómina y honorarios 2011'!J73/'Nómina y honorarios 2011'!C73</f>
        <v>1555791.2196000002</v>
      </c>
      <c r="L63" s="1215">
        <f>+'Nómina y honorarios 2011'!Y73</f>
        <v>484768222.74027234</v>
      </c>
      <c r="N63" s="1217">
        <f t="shared" si="6"/>
        <v>0.03169972633741748</v>
      </c>
      <c r="O63" s="1217">
        <f t="shared" si="6"/>
        <v>0.031699726337417564</v>
      </c>
    </row>
    <row r="64" spans="1:15" ht="12.75">
      <c r="A64" s="1213" t="e">
        <f>+#REF!/12</f>
        <v>#REF!</v>
      </c>
      <c r="B64" s="1213"/>
      <c r="C64" s="1201"/>
      <c r="D64" s="1245" t="s">
        <v>17</v>
      </c>
      <c r="E64" s="902">
        <v>5</v>
      </c>
      <c r="F64" s="1215">
        <f>6601761.3/E64</f>
        <v>1320352.26</v>
      </c>
      <c r="G64" s="1215">
        <v>121002327.30604641</v>
      </c>
      <c r="H64" s="1240"/>
      <c r="I64" s="1245" t="s">
        <v>17</v>
      </c>
      <c r="J64" s="1227">
        <v>5</v>
      </c>
      <c r="K64" s="1215">
        <f>+'Nómina y honorarios 2011'!J74/'Nómina y honorarios 2011'!C74</f>
        <v>1362207.1584</v>
      </c>
      <c r="L64" s="1215">
        <f>+'Nómina y honorarios 2011'!Y74</f>
        <v>124838076.49888536</v>
      </c>
      <c r="N64" s="1217">
        <f t="shared" si="6"/>
        <v>0.031699796840579546</v>
      </c>
      <c r="O64" s="1217">
        <f t="shared" si="6"/>
        <v>0.031699796840579296</v>
      </c>
    </row>
    <row r="65" spans="1:15" ht="12.75">
      <c r="A65" s="1213" t="e">
        <f>+#REF!/12</f>
        <v>#REF!</v>
      </c>
      <c r="B65" s="1213">
        <v>16378338</v>
      </c>
      <c r="C65" s="1201"/>
      <c r="D65" s="1245" t="s">
        <v>143</v>
      </c>
      <c r="E65" s="902">
        <v>1</v>
      </c>
      <c r="F65" s="1215">
        <v>1089144.78</v>
      </c>
      <c r="G65" s="1215">
        <v>19894297.49468092</v>
      </c>
      <c r="H65" s="1240"/>
      <c r="I65" s="448" t="s">
        <v>143</v>
      </c>
      <c r="J65" s="902">
        <v>1</v>
      </c>
      <c r="K65" s="1215">
        <f>+'Nómina y honorarios 2011'!J75</f>
        <v>1123670.8965</v>
      </c>
      <c r="L65" s="1215">
        <f>+'Nómina y honorarios 2011'!Y75</f>
        <v>20524950.871165004</v>
      </c>
      <c r="N65" s="1217">
        <f t="shared" si="6"/>
        <v>0.031700208396536596</v>
      </c>
      <c r="O65" s="1217">
        <f t="shared" si="6"/>
        <v>0.03170020839653679</v>
      </c>
    </row>
    <row r="66" spans="1:15" ht="12.75">
      <c r="A66" s="1213" t="e">
        <f>+#REF!/12</f>
        <v>#REF!</v>
      </c>
      <c r="B66" s="1213">
        <v>11332429</v>
      </c>
      <c r="C66" s="1201"/>
      <c r="D66" s="1245" t="s">
        <v>528</v>
      </c>
      <c r="E66" s="902">
        <v>1</v>
      </c>
      <c r="F66" s="1215">
        <v>768722.9127399999</v>
      </c>
      <c r="G66" s="1215">
        <v>13819297.114989532</v>
      </c>
      <c r="H66" s="1240"/>
      <c r="I66" s="587" t="s">
        <v>528</v>
      </c>
      <c r="J66" s="902">
        <v>1</v>
      </c>
      <c r="K66" s="1215">
        <f>+'Nómina y honorarios 2011'!J76</f>
        <v>793240.9374</v>
      </c>
      <c r="L66" s="1215">
        <f>+'Nómina y honorarios 2011'!Y76</f>
        <v>14259559.256156944</v>
      </c>
      <c r="N66" s="1217">
        <f t="shared" si="6"/>
        <v>0.03189448922838688</v>
      </c>
      <c r="O66" s="1217">
        <f t="shared" si="6"/>
        <v>0.03185850463334112</v>
      </c>
    </row>
    <row r="67" spans="1:15" ht="12.75">
      <c r="A67" s="1213"/>
      <c r="B67" s="1213"/>
      <c r="C67" s="1201"/>
      <c r="D67" s="1245" t="s">
        <v>18</v>
      </c>
      <c r="E67" s="902">
        <v>1</v>
      </c>
      <c r="F67" s="1215">
        <v>768722.9127399999</v>
      </c>
      <c r="G67" s="1215">
        <v>13819297.114989532</v>
      </c>
      <c r="H67" s="1240"/>
      <c r="I67" s="1245" t="s">
        <v>18</v>
      </c>
      <c r="J67" s="902">
        <v>1</v>
      </c>
      <c r="K67" s="1215">
        <f>+'Nómina y honorarios 2011'!J77</f>
        <v>793240.9374</v>
      </c>
      <c r="L67" s="1215">
        <f>+'Nómina y honorarios 2011'!Y77</f>
        <v>14259559.256156944</v>
      </c>
      <c r="N67" s="1217">
        <f t="shared" si="6"/>
        <v>0.03189448922838688</v>
      </c>
      <c r="O67" s="1217">
        <f t="shared" si="6"/>
        <v>0.03185850463334112</v>
      </c>
    </row>
    <row r="68" spans="1:15" ht="12.75">
      <c r="A68" s="1213"/>
      <c r="B68" s="1213"/>
      <c r="C68" s="1201"/>
      <c r="D68" s="554" t="s">
        <v>651</v>
      </c>
      <c r="E68" s="902">
        <v>1</v>
      </c>
      <c r="F68" s="1215">
        <v>610892.19274</v>
      </c>
      <c r="G68" s="1215">
        <v>10970873.705006773</v>
      </c>
      <c r="H68" s="1240"/>
      <c r="I68" s="1245" t="s">
        <v>651</v>
      </c>
      <c r="J68" s="902">
        <v>1</v>
      </c>
      <c r="K68" s="1215">
        <f>+'Nómina y honorarios 2011'!J78</f>
        <v>630406.6947</v>
      </c>
      <c r="L68" s="1215">
        <f>+'Nómina y honorarios 2011'!Y78</f>
        <v>11320835.522848321</v>
      </c>
      <c r="N68" s="1217">
        <f t="shared" si="6"/>
        <v>0.03194426478503963</v>
      </c>
      <c r="O68" s="1217">
        <f t="shared" si="6"/>
        <v>0.031899174783302495</v>
      </c>
    </row>
    <row r="69" spans="1:15" ht="12.75">
      <c r="A69" s="1213" t="e">
        <f>+#REF!/12</f>
        <v>#REF!</v>
      </c>
      <c r="B69" s="1213">
        <v>8959017</v>
      </c>
      <c r="C69" s="1201"/>
      <c r="D69" s="1245" t="s">
        <v>654</v>
      </c>
      <c r="E69" s="902">
        <v>1</v>
      </c>
      <c r="F69" s="1215">
        <v>1670331.6</v>
      </c>
      <c r="G69" s="1215">
        <v>30542480.99884801</v>
      </c>
      <c r="H69" s="1240"/>
      <c r="I69" s="1245" t="s">
        <v>654</v>
      </c>
      <c r="J69" s="902">
        <v>0</v>
      </c>
      <c r="K69" s="1215">
        <v>0</v>
      </c>
      <c r="L69" s="1215">
        <v>0</v>
      </c>
      <c r="N69" s="1217">
        <f t="shared" si="6"/>
        <v>-1</v>
      </c>
      <c r="O69" s="1217">
        <f t="shared" si="6"/>
        <v>-1</v>
      </c>
    </row>
    <row r="70" spans="1:9" ht="12.75">
      <c r="A70" s="1218" t="e">
        <f>+#REF!/12</f>
        <v>#REF!</v>
      </c>
      <c r="B70" s="1201"/>
      <c r="C70" s="1201"/>
      <c r="D70" s="1246"/>
      <c r="H70" s="586"/>
      <c r="I70" s="1246"/>
    </row>
    <row r="71" spans="1:15" ht="13.5" thickBot="1">
      <c r="A71" s="1247"/>
      <c r="B71" s="1201"/>
      <c r="C71" s="1201"/>
      <c r="D71" s="1201"/>
      <c r="H71" s="586"/>
      <c r="I71" s="1201"/>
      <c r="N71" s="1426" t="s">
        <v>848</v>
      </c>
      <c r="O71" s="1427"/>
    </row>
    <row r="72" spans="1:15" ht="13.5" thickBot="1">
      <c r="A72" s="465"/>
      <c r="B72" s="1201"/>
      <c r="C72" s="1201"/>
      <c r="D72" s="1248" t="s">
        <v>849</v>
      </c>
      <c r="E72" s="516">
        <f>+E59+E49+E40+E19+E8</f>
        <v>72</v>
      </c>
      <c r="F72" s="1412">
        <f>+G7+G18+G39+G48+G58</f>
        <v>2363622122.674336</v>
      </c>
      <c r="G72" s="1413"/>
      <c r="H72" s="1249"/>
      <c r="I72" s="1248" t="s">
        <v>849</v>
      </c>
      <c r="J72" s="516">
        <f>+J59+J49+J40+J19+J8</f>
        <v>72</v>
      </c>
      <c r="K72" s="1412">
        <f>+L58+L48+L39+L18+L7</f>
        <v>2451546365.057364</v>
      </c>
      <c r="L72" s="1413"/>
      <c r="N72" s="1420">
        <f>(K72-F72)/F72</f>
        <v>0.03719894205574009</v>
      </c>
      <c r="O72" s="1421"/>
    </row>
    <row r="73" spans="1:15" ht="12.75">
      <c r="A73" s="1201"/>
      <c r="B73" s="1201"/>
      <c r="C73" s="1201"/>
      <c r="D73" s="532"/>
      <c r="E73" s="442"/>
      <c r="F73" s="1250"/>
      <c r="G73" s="1250"/>
      <c r="H73" s="1251"/>
      <c r="I73" s="532"/>
      <c r="J73" s="442"/>
      <c r="K73" s="1250"/>
      <c r="L73" s="1250"/>
      <c r="M73" s="426"/>
      <c r="N73" s="1422"/>
      <c r="O73" s="1423"/>
    </row>
    <row r="74" spans="8:15" ht="13.5" thickBot="1">
      <c r="H74" s="586"/>
      <c r="N74" s="1422"/>
      <c r="O74" s="1423"/>
    </row>
    <row r="75" spans="4:15" ht="13.5" thickBot="1">
      <c r="D75" s="517" t="s">
        <v>367</v>
      </c>
      <c r="E75" s="1145">
        <f>+E72</f>
        <v>72</v>
      </c>
      <c r="F75" s="1412">
        <f>+F72</f>
        <v>2363622122.674336</v>
      </c>
      <c r="G75" s="1413"/>
      <c r="H75" s="1249"/>
      <c r="I75" s="517" t="s">
        <v>367</v>
      </c>
      <c r="J75" s="1145">
        <f>+J73+J72</f>
        <v>72</v>
      </c>
      <c r="K75" s="1412">
        <f>+K73+K72</f>
        <v>2451546365.057364</v>
      </c>
      <c r="L75" s="1413"/>
      <c r="N75" s="1424"/>
      <c r="O75" s="1425"/>
    </row>
    <row r="76" spans="8:11" ht="12.75">
      <c r="H76" s="586"/>
      <c r="K76" s="4"/>
    </row>
    <row r="77" spans="14:15" ht="12.75">
      <c r="N77" s="1179"/>
      <c r="O77" s="1252"/>
    </row>
    <row r="78" ht="12.75">
      <c r="K78" s="575"/>
    </row>
    <row r="79" ht="13.5" thickBot="1"/>
    <row r="80" spans="4:7" ht="13.5" thickBot="1">
      <c r="D80" s="1409" t="s">
        <v>850</v>
      </c>
      <c r="E80" s="1410"/>
      <c r="F80" s="1410"/>
      <c r="G80" s="1411"/>
    </row>
    <row r="81" spans="4:7" ht="13.5" thickBot="1">
      <c r="D81" s="1253"/>
      <c r="E81" s="1254" t="s">
        <v>851</v>
      </c>
      <c r="F81" s="1254"/>
      <c r="G81" s="1255"/>
    </row>
    <row r="82" spans="4:9" ht="13.5" thickBot="1">
      <c r="D82" s="517" t="s">
        <v>367</v>
      </c>
      <c r="E82" s="1145">
        <f>+J75-E75</f>
        <v>0</v>
      </c>
      <c r="F82" s="1412">
        <f>+K75-F75</f>
        <v>87924242.38302803</v>
      </c>
      <c r="G82" s="1413"/>
      <c r="I82" s="1256"/>
    </row>
  </sheetData>
  <sheetProtection/>
  <mergeCells count="25">
    <mergeCell ref="J7:K7"/>
    <mergeCell ref="N72:O75"/>
    <mergeCell ref="F75:G75"/>
    <mergeCell ref="K75:L75"/>
    <mergeCell ref="N71:O71"/>
    <mergeCell ref="E39:F39"/>
    <mergeCell ref="J39:K39"/>
    <mergeCell ref="E18:F18"/>
    <mergeCell ref="J18:K18"/>
    <mergeCell ref="E7:F7"/>
    <mergeCell ref="D1:G1"/>
    <mergeCell ref="I1:L1"/>
    <mergeCell ref="N1:O1"/>
    <mergeCell ref="D2:G2"/>
    <mergeCell ref="I2:L2"/>
    <mergeCell ref="D3:G3"/>
    <mergeCell ref="I3:L3"/>
    <mergeCell ref="D80:G80"/>
    <mergeCell ref="F82:G82"/>
    <mergeCell ref="E48:F48"/>
    <mergeCell ref="J48:K48"/>
    <mergeCell ref="E58:F58"/>
    <mergeCell ref="J58:K58"/>
    <mergeCell ref="F72:G72"/>
    <mergeCell ref="K72:L72"/>
  </mergeCells>
  <printOptions/>
  <pageMargins left="0.7086614173228347" right="0.7086614173228347" top="0.15748031496062992" bottom="0.31496062992125984" header="0.31496062992125984" footer="0.31496062992125984"/>
  <pageSetup horizontalDpi="600" verticalDpi="600" orientation="landscape" scale="50" r:id="rId1"/>
</worksheet>
</file>

<file path=xl/worksheets/sheet16.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60" bestFit="1" customWidth="1"/>
    <col min="2" max="2" width="17.00390625" style="293" customWidth="1"/>
    <col min="3" max="3" width="18.421875" style="260" customWidth="1"/>
    <col min="4" max="4" width="10.140625" style="260" bestFit="1" customWidth="1"/>
    <col min="5" max="5" width="13.7109375" style="260" bestFit="1" customWidth="1"/>
    <col min="6" max="6" width="13.8515625" style="260" bestFit="1" customWidth="1"/>
    <col min="7" max="16384" width="11.421875" style="260" customWidth="1"/>
  </cols>
  <sheetData>
    <row r="1" spans="1:3" ht="15">
      <c r="A1" s="1428" t="s">
        <v>29</v>
      </c>
      <c r="B1" s="1428"/>
      <c r="C1" s="1428"/>
    </row>
    <row r="2" spans="1:3" ht="15">
      <c r="A2" s="1429" t="s">
        <v>62</v>
      </c>
      <c r="B2" s="1428"/>
      <c r="C2" s="1428"/>
    </row>
    <row r="3" spans="1:3" ht="15">
      <c r="A3" s="1428" t="s">
        <v>262</v>
      </c>
      <c r="B3" s="1428"/>
      <c r="C3" s="1428"/>
    </row>
    <row r="4" spans="1:3" ht="15.75" thickBot="1">
      <c r="A4" s="1430"/>
      <c r="B4" s="1430"/>
      <c r="C4" s="1430"/>
    </row>
    <row r="5" spans="1:4" ht="38.25" customHeight="1" thickTop="1">
      <c r="A5" s="261" t="s">
        <v>40</v>
      </c>
      <c r="B5" s="262" t="s">
        <v>72</v>
      </c>
      <c r="C5" s="263" t="s">
        <v>36</v>
      </c>
      <c r="D5" s="264" t="s">
        <v>50</v>
      </c>
    </row>
    <row r="6" spans="1:4" ht="15">
      <c r="A6" s="265" t="s">
        <v>30</v>
      </c>
      <c r="B6" s="265" t="e">
        <f>+B7</f>
        <v>#REF!</v>
      </c>
      <c r="C6" s="266" t="e">
        <f>+C7</f>
        <v>#REF!</v>
      </c>
      <c r="D6" s="267" t="e">
        <f>+C6/C105*100</f>
        <v>#REF!</v>
      </c>
    </row>
    <row r="7" spans="1:4" ht="15">
      <c r="A7" s="268" t="s">
        <v>73</v>
      </c>
      <c r="B7" s="268" t="e">
        <f>+#REF!-[0]!AUXBODEGA-[0]!ASISDESPACHOS-[0]!ASISCONTABPPC-[0]!ASISCALLCENTER-ASISICA+HONORAUDI_JURIDIC</f>
        <v>#REF!</v>
      </c>
      <c r="C7" s="269" t="e">
        <f>+B7</f>
        <v>#REF!</v>
      </c>
      <c r="D7" s="270"/>
    </row>
    <row r="8" spans="1:4" ht="15">
      <c r="A8" s="268"/>
      <c r="B8" s="271"/>
      <c r="C8" s="266"/>
      <c r="D8" s="272"/>
    </row>
    <row r="9" spans="1:4" ht="15">
      <c r="A9" s="265" t="s">
        <v>32</v>
      </c>
      <c r="B9" s="266">
        <f>SUM(B10:B23)</f>
        <v>304667803.38</v>
      </c>
      <c r="C9" s="266">
        <f>SUM(C10:C23)</f>
        <v>304667803.38</v>
      </c>
      <c r="D9" s="267" t="e">
        <f>+C9/C105*100</f>
        <v>#REF!</v>
      </c>
    </row>
    <row r="10" spans="1:4" ht="15">
      <c r="A10" s="271" t="s">
        <v>296</v>
      </c>
      <c r="B10" s="234">
        <v>21500000</v>
      </c>
      <c r="C10" s="269">
        <f>+SUM(B10:B10)</f>
        <v>21500000</v>
      </c>
      <c r="D10" s="270" t="e">
        <f>(+C10/C105)*100</f>
        <v>#REF!</v>
      </c>
    </row>
    <row r="11" spans="1:4" ht="15">
      <c r="A11" s="271" t="s">
        <v>53</v>
      </c>
      <c r="B11" s="234">
        <v>5924000</v>
      </c>
      <c r="C11" s="269">
        <f>+SUM(B11:B11)</f>
        <v>5924000</v>
      </c>
      <c r="D11" s="270" t="e">
        <f>+C11/C105*100</f>
        <v>#REF!</v>
      </c>
    </row>
    <row r="12" spans="1:4" ht="15">
      <c r="A12" s="271" t="s">
        <v>54</v>
      </c>
      <c r="B12" s="234">
        <v>15000000</v>
      </c>
      <c r="C12" s="269">
        <f>+SUM(B12:B12)</f>
        <v>15000000</v>
      </c>
      <c r="D12" s="270" t="e">
        <f>+C12/C105*100</f>
        <v>#REF!</v>
      </c>
    </row>
    <row r="13" spans="1:4" ht="15">
      <c r="A13" s="271" t="s">
        <v>33</v>
      </c>
      <c r="B13" s="234">
        <v>16571515</v>
      </c>
      <c r="C13" s="269">
        <f aca="true" t="shared" si="0" ref="C13:C23">+SUM(B13:B13)</f>
        <v>16571515</v>
      </c>
      <c r="D13" s="270" t="e">
        <f>+C13/C105*100</f>
        <v>#REF!</v>
      </c>
    </row>
    <row r="14" spans="1:4" ht="15">
      <c r="A14" s="271" t="s">
        <v>55</v>
      </c>
      <c r="B14" s="234">
        <v>33250000</v>
      </c>
      <c r="C14" s="269">
        <f t="shared" si="0"/>
        <v>33250000</v>
      </c>
      <c r="D14" s="270" t="e">
        <f>+C14/C105*100</f>
        <v>#REF!</v>
      </c>
    </row>
    <row r="15" spans="1:4" ht="15">
      <c r="A15" s="271" t="s">
        <v>34</v>
      </c>
      <c r="B15" s="234">
        <v>30729600</v>
      </c>
      <c r="C15" s="269">
        <f t="shared" si="0"/>
        <v>30729600</v>
      </c>
      <c r="D15" s="270" t="e">
        <f>+C15/C105*100</f>
        <v>#REF!</v>
      </c>
    </row>
    <row r="16" spans="1:4" ht="15">
      <c r="A16" s="271" t="s">
        <v>56</v>
      </c>
      <c r="B16" s="234">
        <v>8900000</v>
      </c>
      <c r="C16" s="269">
        <f t="shared" si="0"/>
        <v>8900000</v>
      </c>
      <c r="D16" s="270" t="e">
        <f>+C16/C105*100</f>
        <v>#REF!</v>
      </c>
    </row>
    <row r="17" spans="1:4" ht="15">
      <c r="A17" s="271" t="s">
        <v>297</v>
      </c>
      <c r="B17" s="234">
        <v>20000000</v>
      </c>
      <c r="C17" s="269">
        <f t="shared" si="0"/>
        <v>20000000</v>
      </c>
      <c r="D17" s="270" t="e">
        <f>+C17/C105*100</f>
        <v>#REF!</v>
      </c>
    </row>
    <row r="18" spans="1:4" ht="15">
      <c r="A18" s="271" t="s">
        <v>35</v>
      </c>
      <c r="B18" s="234">
        <v>42250000</v>
      </c>
      <c r="C18" s="269">
        <f t="shared" si="0"/>
        <v>42250000</v>
      </c>
      <c r="D18" s="270" t="e">
        <f>+C18/C105*100</f>
        <v>#REF!</v>
      </c>
    </row>
    <row r="19" spans="1:4" ht="15">
      <c r="A19" s="271" t="s">
        <v>51</v>
      </c>
      <c r="B19" s="234">
        <v>3032800</v>
      </c>
      <c r="C19" s="269">
        <f t="shared" si="0"/>
        <v>3032800</v>
      </c>
      <c r="D19" s="270" t="e">
        <f>+C19/C105*100</f>
        <v>#REF!</v>
      </c>
    </row>
    <row r="20" spans="1:4" ht="15">
      <c r="A20" s="271" t="s">
        <v>57</v>
      </c>
      <c r="B20" s="234">
        <v>26833000</v>
      </c>
      <c r="C20" s="269">
        <f t="shared" si="0"/>
        <v>26833000</v>
      </c>
      <c r="D20" s="270" t="e">
        <f>+C20/C105*100</f>
        <v>#REF!</v>
      </c>
    </row>
    <row r="21" spans="1:4" ht="15">
      <c r="A21" s="271" t="s">
        <v>58</v>
      </c>
      <c r="B21" s="234">
        <v>8900000</v>
      </c>
      <c r="C21" s="269">
        <f t="shared" si="0"/>
        <v>8900000</v>
      </c>
      <c r="D21" s="270" t="e">
        <f>+C21/C105*100</f>
        <v>#REF!</v>
      </c>
    </row>
    <row r="22" spans="1:4" ht="15">
      <c r="A22" s="271" t="s">
        <v>59</v>
      </c>
      <c r="B22" s="234">
        <v>60000000</v>
      </c>
      <c r="C22" s="269">
        <f t="shared" si="0"/>
        <v>60000000</v>
      </c>
      <c r="D22" s="270" t="e">
        <f>+C22/C105*100</f>
        <v>#REF!</v>
      </c>
    </row>
    <row r="23" spans="1:4" ht="15">
      <c r="A23" s="271" t="s">
        <v>60</v>
      </c>
      <c r="B23" s="234">
        <v>11776888.38</v>
      </c>
      <c r="C23" s="269">
        <f t="shared" si="0"/>
        <v>11776888.38</v>
      </c>
      <c r="D23" s="270" t="e">
        <f>+C23/C105*100</f>
        <v>#REF!</v>
      </c>
    </row>
    <row r="24" spans="1:4" ht="15">
      <c r="A24" s="273" t="s">
        <v>302</v>
      </c>
      <c r="B24" s="274">
        <f>SUM(B10:B23)</f>
        <v>304667803.38</v>
      </c>
      <c r="C24" s="274" t="e">
        <f>+C9+C6</f>
        <v>#REF!</v>
      </c>
      <c r="D24" s="275" t="e">
        <f>+D9+D6</f>
        <v>#REF!</v>
      </c>
    </row>
    <row r="25" spans="1:4" ht="15">
      <c r="A25" s="276"/>
      <c r="B25" s="271"/>
      <c r="C25" s="276"/>
      <c r="D25" s="272"/>
    </row>
    <row r="26" spans="1:5" ht="15">
      <c r="A26" s="273" t="s">
        <v>42</v>
      </c>
      <c r="B26" s="273"/>
      <c r="C26" s="274" t="e">
        <f>SUM(C28:C96)</f>
        <v>#REF!</v>
      </c>
      <c r="D26" s="275" t="e">
        <f>SUM(D28:D101)</f>
        <v>#REF!</v>
      </c>
      <c r="E26" s="277"/>
    </row>
    <row r="27" spans="1:4" ht="15">
      <c r="A27" s="276"/>
      <c r="B27" s="271"/>
      <c r="C27" s="269"/>
      <c r="D27" s="272"/>
    </row>
    <row r="28" spans="1:4" ht="15">
      <c r="A28" s="278" t="s">
        <v>61</v>
      </c>
      <c r="B28" s="279"/>
      <c r="C28" s="266" t="e">
        <f>B29+B33</f>
        <v>#REF!</v>
      </c>
      <c r="D28" s="270" t="e">
        <f>+C28/C105*100</f>
        <v>#REF!</v>
      </c>
    </row>
    <row r="29" spans="1:4" ht="15">
      <c r="A29" s="278" t="s">
        <v>74</v>
      </c>
      <c r="B29" s="236">
        <v>145800000</v>
      </c>
      <c r="C29" s="266"/>
      <c r="D29" s="270"/>
    </row>
    <row r="30" spans="1:6" ht="15">
      <c r="A30" s="281" t="s">
        <v>75</v>
      </c>
      <c r="B30" s="282" t="e">
        <f>+#REF!</f>
        <v>#REF!</v>
      </c>
      <c r="C30" s="266"/>
      <c r="D30" s="270"/>
      <c r="E30" s="283"/>
      <c r="F30" s="283"/>
    </row>
    <row r="31" spans="1:6" ht="15">
      <c r="A31" s="281" t="s">
        <v>76</v>
      </c>
      <c r="B31" s="282" t="e">
        <f>+#REF!</f>
        <v>#REF!</v>
      </c>
      <c r="C31" s="266"/>
      <c r="D31" s="270"/>
      <c r="F31" s="283"/>
    </row>
    <row r="32" spans="1:6" ht="15">
      <c r="A32" s="281" t="s">
        <v>77</v>
      </c>
      <c r="B32" s="282" t="e">
        <f>+#REF!+#REF!</f>
        <v>#REF!</v>
      </c>
      <c r="C32" s="266"/>
      <c r="D32" s="270"/>
      <c r="F32" s="283"/>
    </row>
    <row r="33" spans="1:6" ht="15">
      <c r="A33" s="278" t="s">
        <v>78</v>
      </c>
      <c r="B33" s="280" t="e">
        <f>SUM(B30:B32)</f>
        <v>#REF!</v>
      </c>
      <c r="C33" s="266"/>
      <c r="D33" s="270"/>
      <c r="F33" s="283"/>
    </row>
    <row r="34" spans="1:6" ht="15">
      <c r="A34" s="281"/>
      <c r="B34" s="280"/>
      <c r="C34" s="266"/>
      <c r="D34" s="270"/>
      <c r="F34" s="283"/>
    </row>
    <row r="35" spans="1:6" ht="15">
      <c r="A35" s="284" t="s">
        <v>65</v>
      </c>
      <c r="B35" s="279"/>
      <c r="C35" s="266" t="e">
        <f>B36+B43</f>
        <v>#REF!</v>
      </c>
      <c r="D35" s="270" t="e">
        <f>+C35/C105*100</f>
        <v>#REF!</v>
      </c>
      <c r="F35" s="283"/>
    </row>
    <row r="36" spans="1:6" ht="15">
      <c r="A36" s="284" t="s">
        <v>74</v>
      </c>
      <c r="B36" s="236">
        <v>3826475436</v>
      </c>
      <c r="C36" s="266"/>
      <c r="D36" s="270"/>
      <c r="F36" s="283"/>
    </row>
    <row r="37" spans="1:6" ht="15">
      <c r="A37" s="285" t="s">
        <v>79</v>
      </c>
      <c r="B37" s="282" t="e">
        <f>+#REF!+#REF!</f>
        <v>#REF!</v>
      </c>
      <c r="C37" s="266"/>
      <c r="D37" s="270"/>
      <c r="F37" s="283"/>
    </row>
    <row r="38" spans="1:6" ht="13.5" customHeight="1">
      <c r="A38" s="285" t="s">
        <v>75</v>
      </c>
      <c r="B38" s="282" t="e">
        <f>+#REF!</f>
        <v>#REF!</v>
      </c>
      <c r="C38" s="266"/>
      <c r="D38" s="270"/>
      <c r="F38" s="283"/>
    </row>
    <row r="39" spans="1:6" ht="13.5" customHeight="1">
      <c r="A39" s="285" t="s">
        <v>80</v>
      </c>
      <c r="B39" s="282" t="e">
        <f>+#REF!/3</f>
        <v>#REF!</v>
      </c>
      <c r="C39" s="266"/>
      <c r="D39" s="270"/>
      <c r="F39" s="283"/>
    </row>
    <row r="40" spans="1:6" ht="13.5" customHeight="1">
      <c r="A40" s="285" t="s">
        <v>81</v>
      </c>
      <c r="B40" s="282" t="e">
        <f>+#REF!</f>
        <v>#REF!</v>
      </c>
      <c r="C40" s="266"/>
      <c r="D40" s="270"/>
      <c r="F40" s="283"/>
    </row>
    <row r="41" spans="1:6" ht="13.5" customHeight="1">
      <c r="A41" s="285" t="s">
        <v>82</v>
      </c>
      <c r="B41" s="282" t="e">
        <f>+#REF!</f>
        <v>#REF!</v>
      </c>
      <c r="C41" s="266"/>
      <c r="D41" s="270"/>
      <c r="F41" s="283"/>
    </row>
    <row r="42" spans="1:6" ht="13.5" customHeight="1">
      <c r="A42" s="285" t="s">
        <v>83</v>
      </c>
      <c r="B42" s="282" t="e">
        <f>+#REF!</f>
        <v>#REF!</v>
      </c>
      <c r="C42" s="266"/>
      <c r="D42" s="270"/>
      <c r="F42" s="283"/>
    </row>
    <row r="43" spans="1:6" ht="13.5" customHeight="1">
      <c r="A43" s="284" t="s">
        <v>78</v>
      </c>
      <c r="B43" s="280" t="e">
        <f>SUM(B37:B42)</f>
        <v>#REF!</v>
      </c>
      <c r="C43" s="266"/>
      <c r="D43" s="270"/>
      <c r="F43" s="283"/>
    </row>
    <row r="44" spans="1:6" ht="13.5" customHeight="1">
      <c r="A44" s="285"/>
      <c r="B44" s="280"/>
      <c r="C44" s="266"/>
      <c r="D44" s="270"/>
      <c r="F44" s="283"/>
    </row>
    <row r="45" spans="1:6" ht="13.5" customHeight="1">
      <c r="A45" s="278" t="s">
        <v>43</v>
      </c>
      <c r="B45" s="271"/>
      <c r="C45" s="266" t="e">
        <f>B46+B52</f>
        <v>#REF!</v>
      </c>
      <c r="D45" s="286" t="e">
        <f>+C45/C105*100</f>
        <v>#REF!</v>
      </c>
      <c r="F45" s="283"/>
    </row>
    <row r="46" spans="1:6" ht="13.5" customHeight="1">
      <c r="A46" s="284" t="s">
        <v>74</v>
      </c>
      <c r="B46" s="287">
        <f>B47+B48+B49+B50</f>
        <v>372000000</v>
      </c>
      <c r="C46" s="266"/>
      <c r="D46" s="286"/>
      <c r="F46" s="283"/>
    </row>
    <row r="47" spans="1:6" ht="13.5" customHeight="1">
      <c r="A47" s="281" t="s">
        <v>84</v>
      </c>
      <c r="B47" s="235">
        <v>50000000</v>
      </c>
      <c r="C47" s="266"/>
      <c r="D47" s="272"/>
      <c r="F47" s="283"/>
    </row>
    <row r="48" spans="1:4" ht="15">
      <c r="A48" s="281" t="s">
        <v>85</v>
      </c>
      <c r="B48" s="235">
        <v>86000000</v>
      </c>
      <c r="C48" s="266"/>
      <c r="D48" s="272"/>
    </row>
    <row r="49" spans="1:4" ht="15">
      <c r="A49" s="281" t="s">
        <v>293</v>
      </c>
      <c r="B49" s="235">
        <v>236000000</v>
      </c>
      <c r="C49" s="266"/>
      <c r="D49" s="272"/>
    </row>
    <row r="50" spans="1:4" ht="15" hidden="1" outlineLevel="1">
      <c r="A50" s="285" t="s">
        <v>86</v>
      </c>
      <c r="B50" s="279">
        <v>0</v>
      </c>
      <c r="C50" s="266"/>
      <c r="D50" s="272"/>
    </row>
    <row r="51" spans="1:4" ht="15" collapsed="1">
      <c r="A51" s="285" t="s">
        <v>75</v>
      </c>
      <c r="B51" s="282" t="e">
        <f>+#REF!</f>
        <v>#REF!</v>
      </c>
      <c r="C51" s="266"/>
      <c r="D51" s="272"/>
    </row>
    <row r="52" spans="1:4" ht="15">
      <c r="A52" s="278" t="s">
        <v>78</v>
      </c>
      <c r="B52" s="280" t="e">
        <f>B51</f>
        <v>#REF!</v>
      </c>
      <c r="C52" s="266"/>
      <c r="D52" s="272"/>
    </row>
    <row r="53" spans="1:4" ht="15">
      <c r="A53" s="278"/>
      <c r="B53" s="279"/>
      <c r="C53" s="266"/>
      <c r="D53" s="272"/>
    </row>
    <row r="54" spans="1:4" ht="15">
      <c r="A54" s="284" t="s">
        <v>347</v>
      </c>
      <c r="B54" s="279"/>
      <c r="C54" s="266" t="e">
        <f>B55+B63</f>
        <v>#REF!</v>
      </c>
      <c r="D54" s="270" t="e">
        <f>+C54/C105*100</f>
        <v>#REF!</v>
      </c>
    </row>
    <row r="55" spans="1:4" ht="16.5" customHeight="1">
      <c r="A55" s="284" t="s">
        <v>74</v>
      </c>
      <c r="B55" s="280">
        <f>SUM(B56:B59)</f>
        <v>769208400</v>
      </c>
      <c r="C55" s="266"/>
      <c r="D55" s="270"/>
    </row>
    <row r="56" spans="1:4" ht="13.5" customHeight="1">
      <c r="A56" s="285" t="s">
        <v>45</v>
      </c>
      <c r="B56" s="235">
        <v>170000000</v>
      </c>
      <c r="C56" s="269"/>
      <c r="D56" s="272"/>
    </row>
    <row r="57" spans="1:4" ht="15">
      <c r="A57" s="285" t="s">
        <v>260</v>
      </c>
      <c r="B57" s="235">
        <v>260000000</v>
      </c>
      <c r="C57" s="269"/>
      <c r="D57" s="272"/>
    </row>
    <row r="58" spans="1:4" ht="15">
      <c r="A58" s="285" t="s">
        <v>352</v>
      </c>
      <c r="B58" s="235">
        <v>289208400</v>
      </c>
      <c r="C58" s="269"/>
      <c r="D58" s="272"/>
    </row>
    <row r="59" spans="1:4" ht="15">
      <c r="A59" s="285" t="s">
        <v>275</v>
      </c>
      <c r="B59" s="235">
        <v>50000000</v>
      </c>
      <c r="C59" s="269"/>
      <c r="D59" s="272"/>
    </row>
    <row r="60" spans="1:4" ht="15">
      <c r="A60" s="285" t="s">
        <v>75</v>
      </c>
      <c r="B60" s="282" t="e">
        <f>+#REF!</f>
        <v>#REF!</v>
      </c>
      <c r="C60" s="269"/>
      <c r="D60" s="272"/>
    </row>
    <row r="61" spans="1:4" ht="15">
      <c r="A61" s="285" t="s">
        <v>353</v>
      </c>
      <c r="B61" s="279" t="e">
        <f>+#REF!</f>
        <v>#REF!</v>
      </c>
      <c r="C61" s="269"/>
      <c r="D61" s="272"/>
    </row>
    <row r="62" spans="1:4" ht="15">
      <c r="A62" s="285" t="s">
        <v>292</v>
      </c>
      <c r="B62" s="279" t="e">
        <f>+#REF!</f>
        <v>#REF!</v>
      </c>
      <c r="C62" s="269"/>
      <c r="D62" s="272"/>
    </row>
    <row r="63" spans="1:4" ht="15">
      <c r="A63" s="278" t="s">
        <v>78</v>
      </c>
      <c r="B63" s="280" t="e">
        <f>SUM(B60:B62)</f>
        <v>#REF!</v>
      </c>
      <c r="C63" s="269"/>
      <c r="D63" s="272"/>
    </row>
    <row r="64" spans="1:4" ht="15">
      <c r="A64" s="278"/>
      <c r="B64" s="279"/>
      <c r="C64" s="269"/>
      <c r="D64" s="272"/>
    </row>
    <row r="65" spans="1:4" ht="15">
      <c r="A65" s="284" t="s">
        <v>37</v>
      </c>
      <c r="B65" s="279"/>
      <c r="C65" s="266" t="e">
        <f>B66+B70</f>
        <v>#REF!</v>
      </c>
      <c r="D65" s="270" t="e">
        <f>+C65/C105*100</f>
        <v>#REF!</v>
      </c>
    </row>
    <row r="66" spans="1:4" ht="15">
      <c r="A66" s="284" t="s">
        <v>74</v>
      </c>
      <c r="B66" s="236">
        <v>340000000</v>
      </c>
      <c r="C66" s="266"/>
      <c r="D66" s="270"/>
    </row>
    <row r="67" spans="1:4" ht="15">
      <c r="A67" s="285" t="s">
        <v>75</v>
      </c>
      <c r="B67" s="282" t="e">
        <f>+#REF!</f>
        <v>#REF!</v>
      </c>
      <c r="C67" s="266"/>
      <c r="D67" s="270"/>
    </row>
    <row r="68" spans="1:4" ht="15">
      <c r="A68" s="285" t="s">
        <v>276</v>
      </c>
      <c r="B68" s="282" t="e">
        <f>+#REF!</f>
        <v>#REF!</v>
      </c>
      <c r="C68" s="266"/>
      <c r="D68" s="270"/>
    </row>
    <row r="69" spans="1:4" ht="17.25" customHeight="1">
      <c r="A69" s="285" t="s">
        <v>277</v>
      </c>
      <c r="B69" s="282" t="e">
        <f>+#REF!</f>
        <v>#REF!</v>
      </c>
      <c r="C69" s="266"/>
      <c r="D69" s="270"/>
    </row>
    <row r="70" spans="1:4" ht="15">
      <c r="A70" s="278" t="s">
        <v>78</v>
      </c>
      <c r="B70" s="280" t="e">
        <f>SUM(B67:B69)</f>
        <v>#REF!</v>
      </c>
      <c r="C70" s="266"/>
      <c r="D70" s="270"/>
    </row>
    <row r="71" spans="1:4" ht="15">
      <c r="A71" s="278"/>
      <c r="B71" s="279"/>
      <c r="C71" s="266"/>
      <c r="D71" s="270"/>
    </row>
    <row r="72" spans="1:4" ht="15">
      <c r="A72" s="284" t="s">
        <v>278</v>
      </c>
      <c r="B72" s="279"/>
      <c r="C72" s="266" t="e">
        <f>+B74+B75+B76+B77+B78</f>
        <v>#REF!</v>
      </c>
      <c r="D72" s="270" t="e">
        <f>+C72/C105*100</f>
        <v>#REF!</v>
      </c>
    </row>
    <row r="73" spans="1:4" ht="15">
      <c r="A73" s="284" t="s">
        <v>74</v>
      </c>
      <c r="B73" s="280">
        <f>SUM(B74:B77)</f>
        <v>472548000</v>
      </c>
      <c r="C73" s="266"/>
      <c r="D73" s="270"/>
    </row>
    <row r="74" spans="1:4" ht="15">
      <c r="A74" s="285" t="s">
        <v>281</v>
      </c>
      <c r="B74" s="235">
        <v>258000000</v>
      </c>
      <c r="C74" s="269"/>
      <c r="D74" s="272"/>
    </row>
    <row r="75" spans="1:4" ht="15">
      <c r="A75" s="285" t="s">
        <v>282</v>
      </c>
      <c r="B75" s="235">
        <v>74148000</v>
      </c>
      <c r="C75" s="269"/>
      <c r="D75" s="272"/>
    </row>
    <row r="76" spans="1:4" ht="15">
      <c r="A76" s="285" t="s">
        <v>68</v>
      </c>
      <c r="B76" s="235">
        <v>130400000</v>
      </c>
      <c r="C76" s="269"/>
      <c r="D76" s="272"/>
    </row>
    <row r="77" spans="1:4" ht="15">
      <c r="A77" s="285" t="s">
        <v>279</v>
      </c>
      <c r="B77" s="235">
        <v>10000000</v>
      </c>
      <c r="C77" s="269"/>
      <c r="D77" s="272"/>
    </row>
    <row r="78" spans="1:4" ht="15">
      <c r="A78" s="285" t="s">
        <v>280</v>
      </c>
      <c r="B78" s="282" t="e">
        <f>+#REF!</f>
        <v>#REF!</v>
      </c>
      <c r="C78" s="269"/>
      <c r="D78" s="272"/>
    </row>
    <row r="79" spans="1:4" ht="15">
      <c r="A79" s="278" t="s">
        <v>78</v>
      </c>
      <c r="B79" s="280" t="e">
        <f>B78</f>
        <v>#REF!</v>
      </c>
      <c r="C79" s="269"/>
      <c r="D79" s="272"/>
    </row>
    <row r="80" spans="1:4" ht="15">
      <c r="A80" s="278"/>
      <c r="B80" s="279"/>
      <c r="C80" s="269"/>
      <c r="D80" s="272"/>
    </row>
    <row r="81" spans="1:4" ht="15">
      <c r="A81" s="284" t="s">
        <v>38</v>
      </c>
      <c r="B81" s="279"/>
      <c r="C81" s="266" t="e">
        <f>B82+B91</f>
        <v>#REF!</v>
      </c>
      <c r="D81" s="270" t="e">
        <f>+C81/C105*100</f>
        <v>#REF!</v>
      </c>
    </row>
    <row r="82" spans="1:4" ht="15">
      <c r="A82" s="284" t="s">
        <v>74</v>
      </c>
      <c r="B82" s="280">
        <f>SUM(B83:B87)</f>
        <v>452000000</v>
      </c>
      <c r="C82" s="266"/>
      <c r="D82" s="270"/>
    </row>
    <row r="83" spans="1:4" ht="15">
      <c r="A83" s="285" t="s">
        <v>283</v>
      </c>
      <c r="B83" s="235">
        <v>220000000</v>
      </c>
      <c r="C83" s="269"/>
      <c r="D83" s="272"/>
    </row>
    <row r="84" spans="1:4" ht="15">
      <c r="A84" s="285" t="s">
        <v>70</v>
      </c>
      <c r="B84" s="235">
        <v>55000000</v>
      </c>
      <c r="C84" s="269"/>
      <c r="D84" s="272"/>
    </row>
    <row r="85" spans="1:4" ht="15">
      <c r="A85" s="285" t="s">
        <v>71</v>
      </c>
      <c r="B85" s="235">
        <v>30000000</v>
      </c>
      <c r="C85" s="269"/>
      <c r="D85" s="272"/>
    </row>
    <row r="86" spans="1:4" ht="15">
      <c r="A86" s="285" t="s">
        <v>284</v>
      </c>
      <c r="B86" s="235">
        <v>117000000</v>
      </c>
      <c r="C86" s="269"/>
      <c r="D86" s="272"/>
    </row>
    <row r="87" spans="1:4" ht="15">
      <c r="A87" s="285" t="s">
        <v>289</v>
      </c>
      <c r="B87" s="235">
        <v>30000000</v>
      </c>
      <c r="C87" s="269"/>
      <c r="D87" s="272"/>
    </row>
    <row r="88" spans="1:4" ht="15">
      <c r="A88" s="285" t="s">
        <v>285</v>
      </c>
      <c r="B88" s="279" t="e">
        <f>+#REF!/3*2</f>
        <v>#REF!</v>
      </c>
      <c r="C88" s="269"/>
      <c r="D88" s="272"/>
    </row>
    <row r="89" spans="1:4" ht="15">
      <c r="A89" s="285" t="s">
        <v>286</v>
      </c>
      <c r="B89" s="279" t="e">
        <f>+#REF!</f>
        <v>#REF!</v>
      </c>
      <c r="C89" s="269"/>
      <c r="D89" s="272"/>
    </row>
    <row r="90" spans="1:4" ht="15">
      <c r="A90" s="285" t="s">
        <v>329</v>
      </c>
      <c r="B90" s="279" t="e">
        <f>+ASISICA</f>
        <v>#REF!</v>
      </c>
      <c r="C90" s="269"/>
      <c r="D90" s="272"/>
    </row>
    <row r="91" spans="1:4" ht="15">
      <c r="A91" s="278" t="s">
        <v>78</v>
      </c>
      <c r="B91" s="280" t="e">
        <f>SUM(B88:B90)</f>
        <v>#REF!</v>
      </c>
      <c r="C91" s="269"/>
      <c r="D91" s="272"/>
    </row>
    <row r="92" spans="1:4" ht="15">
      <c r="A92" s="278"/>
      <c r="B92" s="279"/>
      <c r="C92" s="269"/>
      <c r="D92" s="272"/>
    </row>
    <row r="93" spans="1:4" ht="15">
      <c r="A93" s="278"/>
      <c r="B93" s="279"/>
      <c r="C93" s="266"/>
      <c r="D93" s="270"/>
    </row>
    <row r="94" spans="1:4" ht="15">
      <c r="A94" s="284" t="s">
        <v>288</v>
      </c>
      <c r="B94" s="279"/>
      <c r="C94" s="266" t="e">
        <f>B95+B97</f>
        <v>#REF!</v>
      </c>
      <c r="D94" s="270" t="e">
        <f>+C94/C105*100</f>
        <v>#REF!</v>
      </c>
    </row>
    <row r="95" spans="1:4" ht="15">
      <c r="A95" s="284" t="s">
        <v>74</v>
      </c>
      <c r="B95" s="236">
        <v>73000000</v>
      </c>
      <c r="C95" s="266"/>
      <c r="D95" s="270"/>
    </row>
    <row r="96" spans="1:4" ht="15">
      <c r="A96" s="285" t="s">
        <v>31</v>
      </c>
      <c r="B96" s="279" t="e">
        <f>+#REF!</f>
        <v>#REF!</v>
      </c>
      <c r="C96" s="266"/>
      <c r="D96" s="270"/>
    </row>
    <row r="97" spans="1:4" ht="15">
      <c r="A97" s="278" t="s">
        <v>78</v>
      </c>
      <c r="B97" s="280" t="e">
        <f>+B96</f>
        <v>#REF!</v>
      </c>
      <c r="C97" s="266"/>
      <c r="D97" s="270"/>
    </row>
    <row r="98" spans="1:4" ht="15">
      <c r="A98" s="278"/>
      <c r="B98" s="279"/>
      <c r="C98" s="266"/>
      <c r="D98" s="270"/>
    </row>
    <row r="99" spans="1:4" ht="15">
      <c r="A99" s="284" t="s">
        <v>263</v>
      </c>
      <c r="B99" s="236">
        <f>SUM(INGRESOS!D14:D15)*10%</f>
        <v>916081953.1505461</v>
      </c>
      <c r="C99" s="266">
        <f>+B99</f>
        <v>916081953.1505461</v>
      </c>
      <c r="D99" s="270" t="e">
        <f>+C99/C105*100</f>
        <v>#REF!</v>
      </c>
    </row>
    <row r="100" spans="1:4" ht="15">
      <c r="A100" s="284"/>
      <c r="B100" s="280"/>
      <c r="C100" s="266"/>
      <c r="D100" s="270"/>
    </row>
    <row r="101" spans="1:4" ht="16.5" customHeight="1">
      <c r="A101" s="284" t="s">
        <v>343</v>
      </c>
      <c r="B101" s="280"/>
      <c r="C101" s="266" t="e">
        <f>+B102+B103</f>
        <v>#REF!</v>
      </c>
      <c r="D101" s="270" t="e">
        <f>+C101/C105*100</f>
        <v>#REF!</v>
      </c>
    </row>
    <row r="102" spans="1:4" ht="15">
      <c r="A102" s="285" t="s">
        <v>328</v>
      </c>
      <c r="B102" s="279" t="e">
        <f>+#REF!</f>
        <v>#REF!</v>
      </c>
      <c r="C102" s="269"/>
      <c r="D102" s="272"/>
    </row>
    <row r="103" spans="1:4" ht="15">
      <c r="A103" s="285" t="s">
        <v>319</v>
      </c>
      <c r="B103" s="279" t="e">
        <f>+#REF!</f>
        <v>#REF!</v>
      </c>
      <c r="C103" s="269"/>
      <c r="D103" s="272"/>
    </row>
    <row r="104" spans="1:4" ht="15">
      <c r="A104" s="288"/>
      <c r="B104" s="271"/>
      <c r="C104" s="276"/>
      <c r="D104" s="272"/>
    </row>
    <row r="105" spans="1:4" ht="15">
      <c r="A105" s="273" t="s">
        <v>49</v>
      </c>
      <c r="B105" s="274"/>
      <c r="C105" s="274" t="e">
        <f>+C99+C26+C24+C101</f>
        <v>#REF!</v>
      </c>
      <c r="D105" s="270" t="e">
        <f>+D26+D24</f>
        <v>#REF!</v>
      </c>
    </row>
    <row r="106" spans="1:4" ht="8.25" customHeight="1" thickBot="1">
      <c r="A106" s="289"/>
      <c r="B106" s="290"/>
      <c r="C106" s="291"/>
      <c r="D106" s="292"/>
    </row>
    <row r="107" ht="15.75" thickTop="1">
      <c r="C107" s="294"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17.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8" t="s">
        <v>150</v>
      </c>
      <c r="B1" s="298"/>
      <c r="C1" s="298"/>
      <c r="D1" s="298"/>
      <c r="E1" s="298"/>
      <c r="F1" s="298"/>
      <c r="G1" s="298"/>
      <c r="H1" s="298"/>
      <c r="I1" s="298"/>
      <c r="J1" s="298"/>
    </row>
    <row r="2" spans="1:10" ht="12.75" customHeight="1">
      <c r="A2" s="298" t="s">
        <v>321</v>
      </c>
      <c r="B2" s="298"/>
      <c r="C2" s="298"/>
      <c r="D2" s="298"/>
      <c r="E2" s="298"/>
      <c r="F2" s="298"/>
      <c r="G2" s="298"/>
      <c r="H2" s="298"/>
      <c r="I2" s="298"/>
      <c r="J2" s="298"/>
    </row>
    <row r="3" spans="1:11" ht="13.5" customHeight="1" thickBot="1">
      <c r="A3" s="55"/>
      <c r="B3" s="56"/>
      <c r="C3" s="56"/>
      <c r="D3" s="56"/>
      <c r="E3" s="56"/>
      <c r="F3" s="56"/>
      <c r="G3" s="56"/>
      <c r="H3" s="56"/>
      <c r="I3" s="56"/>
      <c r="J3" s="56"/>
      <c r="K3" s="54"/>
    </row>
    <row r="4" spans="1:11" ht="15" thickBot="1">
      <c r="A4" s="203" t="s">
        <v>129</v>
      </c>
      <c r="B4" s="40" t="s">
        <v>130</v>
      </c>
      <c r="C4" s="188" t="s">
        <v>131</v>
      </c>
      <c r="D4" s="237" t="s">
        <v>131</v>
      </c>
      <c r="E4" s="295" t="s">
        <v>348</v>
      </c>
      <c r="F4" s="295"/>
      <c r="G4" s="301" t="s">
        <v>320</v>
      </c>
      <c r="H4" s="40" t="s">
        <v>322</v>
      </c>
      <c r="I4" s="40" t="s">
        <v>109</v>
      </c>
      <c r="J4" s="299" t="s">
        <v>152</v>
      </c>
      <c r="K4" s="58"/>
    </row>
    <row r="5" spans="1:11" ht="15.75" thickBot="1">
      <c r="A5" s="55"/>
      <c r="B5" s="59"/>
      <c r="C5" s="108" t="s">
        <v>301</v>
      </c>
      <c r="D5" s="238" t="s">
        <v>105</v>
      </c>
      <c r="E5" s="296">
        <v>0.1</v>
      </c>
      <c r="F5" s="296">
        <v>0.06</v>
      </c>
      <c r="G5" s="41">
        <v>0.00966</v>
      </c>
      <c r="H5" s="222">
        <v>0.27022</v>
      </c>
      <c r="I5" s="300" t="s">
        <v>323</v>
      </c>
      <c r="J5" s="60" t="s">
        <v>104</v>
      </c>
      <c r="K5" s="58"/>
    </row>
    <row r="6" spans="1:11" ht="15.75" thickBot="1">
      <c r="A6" s="61" t="s">
        <v>133</v>
      </c>
      <c r="B6" s="62" t="e">
        <f>+B7+B8+B9+B10+B11</f>
        <v>#REF!</v>
      </c>
      <c r="C6" s="219">
        <f aca="true" t="shared" si="0" ref="C6:J6">SUM(C7:C11)</f>
        <v>19000000</v>
      </c>
      <c r="D6" s="297"/>
      <c r="E6" s="220" t="e">
        <f t="shared" si="0"/>
        <v>#REF!</v>
      </c>
      <c r="F6" s="220"/>
      <c r="G6" s="62" t="e">
        <f t="shared" si="0"/>
        <v>#REF!</v>
      </c>
      <c r="H6" s="63">
        <f t="shared" si="0"/>
        <v>580432.56</v>
      </c>
      <c r="I6" s="64" t="e">
        <f t="shared" si="0"/>
        <v>#REF!</v>
      </c>
      <c r="J6" s="62" t="e">
        <f t="shared" si="0"/>
        <v>#REF!</v>
      </c>
      <c r="K6" s="58"/>
    </row>
    <row r="7" spans="1:11" ht="15">
      <c r="A7" s="207" t="e">
        <f>+#REF!</f>
        <v>#REF!</v>
      </c>
      <c r="B7" s="213" t="e">
        <f>+#REF!</f>
        <v>#REF!</v>
      </c>
      <c r="C7" s="190">
        <v>3800000</v>
      </c>
      <c r="D7" s="190" t="e">
        <f>+C7*B7</f>
        <v>#REF!</v>
      </c>
      <c r="E7" s="67" t="e">
        <f>+D7*E5</f>
        <v>#REF!</v>
      </c>
      <c r="F7" s="67"/>
      <c r="G7" s="68" t="e">
        <f>+D7*$G$5</f>
        <v>#REF!</v>
      </c>
      <c r="H7" s="69">
        <f>537000*$H$5</f>
        <v>145108.14</v>
      </c>
      <c r="I7" s="69" t="e">
        <f>+D7-E7-F7-G7-H7</f>
        <v>#REF!</v>
      </c>
      <c r="J7" s="68" t="e">
        <f>+I7*12</f>
        <v>#REF!</v>
      </c>
      <c r="K7" s="72"/>
    </row>
    <row r="8" spans="1:11" ht="15">
      <c r="A8" s="208" t="e">
        <f>+#REF!</f>
        <v>#REF!</v>
      </c>
      <c r="B8" s="214" t="e">
        <f>+#REF!</f>
        <v>#REF!</v>
      </c>
      <c r="C8" s="190">
        <v>3800000</v>
      </c>
      <c r="D8" s="190" t="e">
        <f aca="true" t="shared" si="1" ref="D8:D39">+C8*B8</f>
        <v>#REF!</v>
      </c>
      <c r="E8" s="67" t="e">
        <f>+D8*10%</f>
        <v>#REF!</v>
      </c>
      <c r="F8" s="67"/>
      <c r="G8" s="68" t="e">
        <f>+D8*$G$5</f>
        <v>#REF!</v>
      </c>
      <c r="H8" s="69">
        <f>537000*$H$5</f>
        <v>145108.14</v>
      </c>
      <c r="I8" s="69" t="e">
        <f>+D8-E8-F8-G8-H8</f>
        <v>#REF!</v>
      </c>
      <c r="J8" s="68" t="e">
        <f>+I8*12</f>
        <v>#REF!</v>
      </c>
      <c r="K8" s="72"/>
    </row>
    <row r="9" spans="1:11" ht="15">
      <c r="A9" s="208" t="e">
        <f>+#REF!</f>
        <v>#REF!</v>
      </c>
      <c r="B9" s="214" t="e">
        <f>+#REF!</f>
        <v>#REF!</v>
      </c>
      <c r="C9" s="190">
        <v>3800000</v>
      </c>
      <c r="D9" s="190" t="e">
        <f t="shared" si="1"/>
        <v>#REF!</v>
      </c>
      <c r="E9" s="67" t="e">
        <f>+D9*10%</f>
        <v>#REF!</v>
      </c>
      <c r="F9" s="67"/>
      <c r="G9" s="68" t="e">
        <f>+D9*$G$5</f>
        <v>#REF!</v>
      </c>
      <c r="H9" s="69">
        <f>537000*$H$5</f>
        <v>145108.14</v>
      </c>
      <c r="I9" s="69" t="e">
        <f>+D9-E9-F9-G9-H9</f>
        <v>#REF!</v>
      </c>
      <c r="J9" s="68" t="e">
        <f>+I9*12</f>
        <v>#REF!</v>
      </c>
      <c r="K9" s="72"/>
    </row>
    <row r="10" spans="1:11" ht="15">
      <c r="A10" s="208" t="e">
        <f>+#REF!</f>
        <v>#REF!</v>
      </c>
      <c r="B10" s="214" t="e">
        <f>+#REF!</f>
        <v>#REF!</v>
      </c>
      <c r="C10" s="190">
        <v>3800000</v>
      </c>
      <c r="D10" s="190" t="e">
        <f t="shared" si="1"/>
        <v>#REF!</v>
      </c>
      <c r="E10" s="67" t="e">
        <f>+D10*10%</f>
        <v>#REF!</v>
      </c>
      <c r="F10" s="67"/>
      <c r="G10" s="68" t="e">
        <f>+D10*$G$5</f>
        <v>#REF!</v>
      </c>
      <c r="H10" s="69">
        <v>0</v>
      </c>
      <c r="I10" s="69" t="e">
        <f>+D10-E10-F10-G10-H10</f>
        <v>#REF!</v>
      </c>
      <c r="J10" s="68" t="e">
        <f>+I10*12</f>
        <v>#REF!</v>
      </c>
      <c r="K10" s="72"/>
    </row>
    <row r="11" spans="1:10" ht="15.75" thickBot="1">
      <c r="A11" s="206" t="e">
        <f>+#REF!</f>
        <v>#REF!</v>
      </c>
      <c r="B11" s="217" t="e">
        <f>+#REF!</f>
        <v>#REF!</v>
      </c>
      <c r="C11" s="197">
        <v>3800000</v>
      </c>
      <c r="D11" s="197" t="e">
        <f t="shared" si="1"/>
        <v>#REF!</v>
      </c>
      <c r="E11" s="67" t="e">
        <f>+D11*10%</f>
        <v>#REF!</v>
      </c>
      <c r="F11" s="67"/>
      <c r="G11" s="68" t="e">
        <f>+D11*$G$5</f>
        <v>#REF!</v>
      </c>
      <c r="H11" s="69">
        <f>537000*$H$5</f>
        <v>145108.14</v>
      </c>
      <c r="I11" s="69" t="e">
        <f>+D11-E11-F11-G11-H11</f>
        <v>#REF!</v>
      </c>
      <c r="J11" s="68" t="e">
        <f>+I11*12</f>
        <v>#REF!</v>
      </c>
    </row>
    <row r="12" spans="1:10" ht="15.75" thickBot="1">
      <c r="A12" s="73" t="s">
        <v>135</v>
      </c>
      <c r="B12" s="62" t="e">
        <f aca="true" t="shared" si="2" ref="B12:I12">SUM(B13:B18)</f>
        <v>#REF!</v>
      </c>
      <c r="C12" s="199">
        <f t="shared" si="2"/>
        <v>16000000</v>
      </c>
      <c r="D12" s="199"/>
      <c r="E12" s="62" t="e">
        <f t="shared" si="2"/>
        <v>#REF!</v>
      </c>
      <c r="F12" s="62"/>
      <c r="G12" s="62" t="e">
        <f>SUM(G13:G18)</f>
        <v>#REF!</v>
      </c>
      <c r="H12" s="74">
        <f t="shared" si="2"/>
        <v>870648.8400000001</v>
      </c>
      <c r="I12" s="75" t="e">
        <f t="shared" si="2"/>
        <v>#REF!</v>
      </c>
      <c r="J12" s="62" t="e">
        <f>SUM(J13:J18)</f>
        <v>#REF!</v>
      </c>
    </row>
    <row r="13" spans="1:11" ht="15">
      <c r="A13" s="207" t="e">
        <f>+#REF!</f>
        <v>#REF!</v>
      </c>
      <c r="B13" s="213" t="e">
        <f>+#REF!</f>
        <v>#REF!</v>
      </c>
      <c r="C13" s="190">
        <v>3000000</v>
      </c>
      <c r="D13" s="190"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8" t="e">
        <f>+#REF!</f>
        <v>#REF!</v>
      </c>
      <c r="B14" s="214" t="e">
        <f>+#REF!</f>
        <v>#REF!</v>
      </c>
      <c r="C14" s="190">
        <v>3000000</v>
      </c>
      <c r="D14" s="190" t="e">
        <f t="shared" si="1"/>
        <v>#REF!</v>
      </c>
      <c r="E14" s="67" t="e">
        <f t="shared" si="3"/>
        <v>#REF!</v>
      </c>
      <c r="F14" s="67"/>
      <c r="G14" s="68" t="e">
        <f t="shared" si="4"/>
        <v>#REF!</v>
      </c>
      <c r="H14" s="69">
        <f t="shared" si="5"/>
        <v>145108.14</v>
      </c>
      <c r="I14" s="69" t="e">
        <f t="shared" si="6"/>
        <v>#REF!</v>
      </c>
      <c r="J14" s="68" t="e">
        <f t="shared" si="7"/>
        <v>#REF!</v>
      </c>
      <c r="K14" s="72"/>
    </row>
    <row r="15" spans="1:11" ht="15">
      <c r="A15" s="208" t="e">
        <f>+#REF!</f>
        <v>#REF!</v>
      </c>
      <c r="B15" s="214" t="e">
        <f>+#REF!</f>
        <v>#REF!</v>
      </c>
      <c r="C15" s="190">
        <v>2500000</v>
      </c>
      <c r="D15" s="190" t="e">
        <f t="shared" si="1"/>
        <v>#REF!</v>
      </c>
      <c r="E15" s="67" t="e">
        <f t="shared" si="3"/>
        <v>#REF!</v>
      </c>
      <c r="F15" s="67"/>
      <c r="G15" s="68" t="e">
        <f t="shared" si="4"/>
        <v>#REF!</v>
      </c>
      <c r="H15" s="69">
        <f t="shared" si="5"/>
        <v>145108.14</v>
      </c>
      <c r="I15" s="69" t="e">
        <f t="shared" si="6"/>
        <v>#REF!</v>
      </c>
      <c r="J15" s="68" t="e">
        <f t="shared" si="7"/>
        <v>#REF!</v>
      </c>
      <c r="K15" s="72"/>
    </row>
    <row r="16" spans="1:11" ht="15">
      <c r="A16" s="207" t="e">
        <f>+#REF!</f>
        <v>#REF!</v>
      </c>
      <c r="B16" s="213" t="e">
        <f>+#REF!</f>
        <v>#REF!</v>
      </c>
      <c r="C16" s="190">
        <v>2500000</v>
      </c>
      <c r="D16" s="190" t="e">
        <f t="shared" si="1"/>
        <v>#REF!</v>
      </c>
      <c r="E16" s="67" t="e">
        <f t="shared" si="3"/>
        <v>#REF!</v>
      </c>
      <c r="F16" s="67"/>
      <c r="G16" s="68" t="e">
        <f t="shared" si="4"/>
        <v>#REF!</v>
      </c>
      <c r="H16" s="69">
        <f t="shared" si="5"/>
        <v>145108.14</v>
      </c>
      <c r="I16" s="69" t="e">
        <f t="shared" si="6"/>
        <v>#REF!</v>
      </c>
      <c r="J16" s="68" t="e">
        <f t="shared" si="7"/>
        <v>#REF!</v>
      </c>
      <c r="K16" s="72"/>
    </row>
    <row r="17" spans="1:11" ht="15">
      <c r="A17" s="207" t="e">
        <f>+#REF!</f>
        <v>#REF!</v>
      </c>
      <c r="B17" s="213" t="e">
        <f>+#REF!</f>
        <v>#REF!</v>
      </c>
      <c r="C17" s="190">
        <v>2500000</v>
      </c>
      <c r="D17" s="190" t="e">
        <f t="shared" si="1"/>
        <v>#REF!</v>
      </c>
      <c r="E17" s="67" t="e">
        <f t="shared" si="3"/>
        <v>#REF!</v>
      </c>
      <c r="F17" s="67"/>
      <c r="G17" s="68" t="e">
        <f t="shared" si="4"/>
        <v>#REF!</v>
      </c>
      <c r="H17" s="69">
        <f t="shared" si="5"/>
        <v>145108.14</v>
      </c>
      <c r="I17" s="69" t="e">
        <f t="shared" si="6"/>
        <v>#REF!</v>
      </c>
      <c r="J17" s="68" t="e">
        <f t="shared" si="7"/>
        <v>#REF!</v>
      </c>
      <c r="K17" s="72"/>
    </row>
    <row r="18" spans="1:11" ht="15.75" thickBot="1">
      <c r="A18" s="202" t="e">
        <f>+#REF!</f>
        <v>#REF!</v>
      </c>
      <c r="B18" s="215" t="e">
        <f>+#REF!</f>
        <v>#REF!</v>
      </c>
      <c r="C18" s="190">
        <v>2500000</v>
      </c>
      <c r="D18" s="190"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138</v>
      </c>
      <c r="B19" s="62" t="e">
        <f>+B20+B21+B23+B25</f>
        <v>#REF!</v>
      </c>
      <c r="C19" s="220">
        <f aca="true" t="shared" si="8" ref="C19:J19">SUM(C20:C25)</f>
        <v>7580000</v>
      </c>
      <c r="D19" s="220"/>
      <c r="E19" s="220" t="e">
        <f t="shared" si="8"/>
        <v>#REF!</v>
      </c>
      <c r="F19" s="220"/>
      <c r="G19" s="62" t="e">
        <f t="shared" si="8"/>
        <v>#REF!</v>
      </c>
      <c r="H19" s="74">
        <f t="shared" si="8"/>
        <v>580432.56</v>
      </c>
      <c r="I19" s="75" t="e">
        <f t="shared" si="8"/>
        <v>#REF!</v>
      </c>
      <c r="J19" s="62" t="e">
        <f t="shared" si="8"/>
        <v>#REF!</v>
      </c>
      <c r="K19" s="72"/>
    </row>
    <row r="20" spans="1:11" ht="15">
      <c r="A20" s="209" t="e">
        <f>+#REF!</f>
        <v>#REF!</v>
      </c>
      <c r="B20" s="216" t="e">
        <f>+#REF!</f>
        <v>#REF!</v>
      </c>
      <c r="C20" s="191">
        <v>1800000</v>
      </c>
      <c r="D20" s="190"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7" t="e">
        <f>+#REF!</f>
        <v>#REF!</v>
      </c>
      <c r="B21" s="213" t="e">
        <f>+#REF!</f>
        <v>#REF!</v>
      </c>
      <c r="C21" s="190">
        <v>1800000</v>
      </c>
      <c r="D21" s="190" t="e">
        <f t="shared" si="1"/>
        <v>#REF!</v>
      </c>
      <c r="E21" s="67" t="e">
        <f>+D21*10%</f>
        <v>#REF!</v>
      </c>
      <c r="F21" s="67"/>
      <c r="G21" s="68" t="e">
        <f>+D21*$G$5</f>
        <v>#REF!</v>
      </c>
      <c r="H21" s="69">
        <f>537000*$H$5</f>
        <v>145108.14</v>
      </c>
      <c r="I21" s="69" t="e">
        <f t="shared" si="9"/>
        <v>#REF!</v>
      </c>
      <c r="J21" s="68" t="e">
        <f t="shared" si="10"/>
        <v>#REF!</v>
      </c>
      <c r="K21" s="72"/>
    </row>
    <row r="22" spans="1:11" ht="15">
      <c r="A22" s="207" t="e">
        <f>+#REF!</f>
        <v>#REF!</v>
      </c>
      <c r="B22" s="213" t="e">
        <f>+#REF!</f>
        <v>#REF!</v>
      </c>
      <c r="C22" s="190">
        <v>400000</v>
      </c>
      <c r="D22" s="190" t="e">
        <f t="shared" si="1"/>
        <v>#REF!</v>
      </c>
      <c r="E22" s="67">
        <v>0</v>
      </c>
      <c r="F22" s="67"/>
      <c r="G22" s="68">
        <v>0</v>
      </c>
      <c r="H22" s="69">
        <v>0</v>
      </c>
      <c r="I22" s="69" t="e">
        <f t="shared" si="9"/>
        <v>#REF!</v>
      </c>
      <c r="J22" s="68" t="e">
        <f t="shared" si="10"/>
        <v>#REF!</v>
      </c>
      <c r="K22" s="72"/>
    </row>
    <row r="23" spans="1:11" ht="15">
      <c r="A23" s="207" t="e">
        <f>+#REF!</f>
        <v>#REF!</v>
      </c>
      <c r="B23" s="213" t="e">
        <f>+#REF!</f>
        <v>#REF!</v>
      </c>
      <c r="C23" s="190">
        <v>1380000</v>
      </c>
      <c r="D23" s="190" t="e">
        <f t="shared" si="1"/>
        <v>#REF!</v>
      </c>
      <c r="E23" s="67" t="e">
        <f>+D23*10%</f>
        <v>#REF!</v>
      </c>
      <c r="F23" s="67"/>
      <c r="G23" s="68" t="e">
        <f>+D23*$G$5</f>
        <v>#REF!</v>
      </c>
      <c r="H23" s="69">
        <f>537000*$H$5</f>
        <v>145108.14</v>
      </c>
      <c r="I23" s="69" t="e">
        <f t="shared" si="9"/>
        <v>#REF!</v>
      </c>
      <c r="J23" s="68" t="e">
        <f t="shared" si="10"/>
        <v>#REF!</v>
      </c>
      <c r="K23" s="72"/>
    </row>
    <row r="24" spans="1:11" ht="15">
      <c r="A24" s="202" t="e">
        <f>+#REF!</f>
        <v>#REF!</v>
      </c>
      <c r="B24" s="215" t="e">
        <f>+#REF!</f>
        <v>#REF!</v>
      </c>
      <c r="C24" s="190">
        <v>500000</v>
      </c>
      <c r="D24" s="190" t="e">
        <f t="shared" si="1"/>
        <v>#REF!</v>
      </c>
      <c r="E24" s="67">
        <v>0</v>
      </c>
      <c r="F24" s="67"/>
      <c r="G24" s="68">
        <v>0</v>
      </c>
      <c r="H24" s="69">
        <v>0</v>
      </c>
      <c r="I24" s="69" t="e">
        <f t="shared" si="9"/>
        <v>#REF!</v>
      </c>
      <c r="J24" s="68" t="e">
        <f t="shared" si="10"/>
        <v>#REF!</v>
      </c>
      <c r="K24" s="72"/>
    </row>
    <row r="25" spans="1:11" ht="15.75" thickBot="1">
      <c r="A25" s="206" t="e">
        <f>+#REF!</f>
        <v>#REF!</v>
      </c>
      <c r="B25" s="217" t="e">
        <f>+#REF!</f>
        <v>#REF!</v>
      </c>
      <c r="C25" s="192">
        <v>1700000</v>
      </c>
      <c r="D25" s="190" t="e">
        <f t="shared" si="1"/>
        <v>#REF!</v>
      </c>
      <c r="E25" s="67" t="e">
        <f>+D25*10%</f>
        <v>#REF!</v>
      </c>
      <c r="F25" s="67"/>
      <c r="G25" s="68" t="e">
        <f>+D25*$G$5</f>
        <v>#REF!</v>
      </c>
      <c r="H25" s="69">
        <f>537000*$H$5</f>
        <v>145108.14</v>
      </c>
      <c r="I25" s="69" t="e">
        <f t="shared" si="9"/>
        <v>#REF!</v>
      </c>
      <c r="J25" s="68" t="e">
        <f t="shared" si="10"/>
        <v>#REF!</v>
      </c>
      <c r="K25" s="72"/>
    </row>
    <row r="26" spans="1:11" ht="15.75" thickBot="1">
      <c r="A26" s="73" t="s">
        <v>142</v>
      </c>
      <c r="B26" s="62" t="e">
        <f aca="true" t="shared" si="11" ref="B26:I26">SUM(B27:B39)</f>
        <v>#REF!</v>
      </c>
      <c r="C26" s="220">
        <f t="shared" si="11"/>
        <v>12700000</v>
      </c>
      <c r="D26" s="220"/>
      <c r="E26" s="220" t="e">
        <f t="shared" si="11"/>
        <v>#REF!</v>
      </c>
      <c r="F26" s="220"/>
      <c r="G26" s="62" t="e">
        <f>SUM(G27:G39)</f>
        <v>#REF!</v>
      </c>
      <c r="H26" s="74">
        <f t="shared" si="11"/>
        <v>1886405.8200000008</v>
      </c>
      <c r="I26" s="74" t="e">
        <f t="shared" si="11"/>
        <v>#REF!</v>
      </c>
      <c r="J26" s="62" t="e">
        <f>SUM(J27:J39)</f>
        <v>#REF!</v>
      </c>
      <c r="K26" s="72"/>
    </row>
    <row r="27" spans="1:11" ht="15.75" thickBot="1">
      <c r="A27" s="210" t="e">
        <f>+#REF!</f>
        <v>#REF!</v>
      </c>
      <c r="B27" s="218" t="e">
        <f>+#REF!</f>
        <v>#REF!</v>
      </c>
      <c r="C27" s="193">
        <v>2000000</v>
      </c>
      <c r="D27" s="193"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8" t="e">
        <f>+#REF!</f>
        <v>#REF!</v>
      </c>
      <c r="B28" s="214" t="e">
        <f>+#REF!</f>
        <v>#REF!</v>
      </c>
      <c r="C28" s="191">
        <v>1300000</v>
      </c>
      <c r="D28" s="191" t="e">
        <f t="shared" si="1"/>
        <v>#REF!</v>
      </c>
      <c r="E28" s="79" t="e">
        <f t="shared" si="12"/>
        <v>#REF!</v>
      </c>
      <c r="F28" s="79"/>
      <c r="G28" s="223" t="e">
        <f t="shared" si="13"/>
        <v>#REF!</v>
      </c>
      <c r="H28" s="79">
        <f t="shared" si="14"/>
        <v>145108.14</v>
      </c>
      <c r="I28" s="79" t="e">
        <f t="shared" si="15"/>
        <v>#REF!</v>
      </c>
      <c r="J28" s="70" t="e">
        <f t="shared" si="16"/>
        <v>#REF!</v>
      </c>
      <c r="K28" s="72"/>
    </row>
    <row r="29" spans="1:11" ht="15">
      <c r="A29" s="207" t="e">
        <f>+#REF!</f>
        <v>#REF!</v>
      </c>
      <c r="B29" s="213" t="e">
        <f>+#REF!</f>
        <v>#REF!</v>
      </c>
      <c r="C29" s="190">
        <v>1300000</v>
      </c>
      <c r="D29" s="190" t="e">
        <f t="shared" si="1"/>
        <v>#REF!</v>
      </c>
      <c r="E29" s="67" t="e">
        <f t="shared" si="12"/>
        <v>#REF!</v>
      </c>
      <c r="F29" s="67"/>
      <c r="G29" s="224" t="e">
        <f t="shared" si="13"/>
        <v>#REF!</v>
      </c>
      <c r="H29" s="67">
        <f t="shared" si="14"/>
        <v>145108.14</v>
      </c>
      <c r="I29" s="67" t="e">
        <f t="shared" si="15"/>
        <v>#REF!</v>
      </c>
      <c r="J29" s="68" t="e">
        <f t="shared" si="16"/>
        <v>#REF!</v>
      </c>
      <c r="K29" s="72"/>
    </row>
    <row r="30" spans="1:11" ht="15.75" thickBot="1">
      <c r="A30" s="206" t="e">
        <f>+#REF!</f>
        <v>#REF!</v>
      </c>
      <c r="B30" s="217" t="e">
        <f>+#REF!</f>
        <v>#REF!</v>
      </c>
      <c r="C30" s="192">
        <v>1300000</v>
      </c>
      <c r="D30" s="192" t="e">
        <f t="shared" si="1"/>
        <v>#REF!</v>
      </c>
      <c r="E30" s="81" t="e">
        <f t="shared" si="12"/>
        <v>#REF!</v>
      </c>
      <c r="F30" s="81"/>
      <c r="G30" s="225" t="e">
        <f t="shared" si="13"/>
        <v>#REF!</v>
      </c>
      <c r="H30" s="81">
        <f t="shared" si="14"/>
        <v>145108.14</v>
      </c>
      <c r="I30" s="81" t="e">
        <f t="shared" si="15"/>
        <v>#REF!</v>
      </c>
      <c r="J30" s="71" t="e">
        <f t="shared" si="16"/>
        <v>#REF!</v>
      </c>
      <c r="K30" s="72"/>
    </row>
    <row r="31" spans="1:11" ht="15">
      <c r="A31" s="207" t="e">
        <f>+#REF!</f>
        <v>#REF!</v>
      </c>
      <c r="B31" s="213" t="e">
        <f>+#REF!</f>
        <v>#REF!</v>
      </c>
      <c r="C31" s="190">
        <v>900000</v>
      </c>
      <c r="D31" s="190" t="e">
        <f t="shared" si="1"/>
        <v>#REF!</v>
      </c>
      <c r="E31" s="67" t="e">
        <f t="shared" si="12"/>
        <v>#REF!</v>
      </c>
      <c r="F31" s="67"/>
      <c r="G31" s="224" t="e">
        <f t="shared" si="13"/>
        <v>#REF!</v>
      </c>
      <c r="H31" s="67">
        <f t="shared" si="14"/>
        <v>145108.14</v>
      </c>
      <c r="I31" s="67" t="e">
        <f t="shared" si="15"/>
        <v>#REF!</v>
      </c>
      <c r="J31" s="68" t="e">
        <f t="shared" si="16"/>
        <v>#REF!</v>
      </c>
      <c r="K31" s="72"/>
    </row>
    <row r="32" spans="1:11" ht="15">
      <c r="A32" s="207" t="e">
        <f>+#REF!</f>
        <v>#REF!</v>
      </c>
      <c r="B32" s="213" t="e">
        <f>+#REF!</f>
        <v>#REF!</v>
      </c>
      <c r="C32" s="190">
        <v>900000</v>
      </c>
      <c r="D32" s="190" t="e">
        <f t="shared" si="1"/>
        <v>#REF!</v>
      </c>
      <c r="E32" s="67" t="e">
        <f t="shared" si="12"/>
        <v>#REF!</v>
      </c>
      <c r="F32" s="67"/>
      <c r="G32" s="224" t="e">
        <f t="shared" si="13"/>
        <v>#REF!</v>
      </c>
      <c r="H32" s="67">
        <f t="shared" si="14"/>
        <v>145108.14</v>
      </c>
      <c r="I32" s="67" t="e">
        <f t="shared" si="15"/>
        <v>#REF!</v>
      </c>
      <c r="J32" s="68" t="e">
        <f t="shared" si="16"/>
        <v>#REF!</v>
      </c>
      <c r="K32" s="72"/>
    </row>
    <row r="33" spans="1:11" ht="15">
      <c r="A33" s="207" t="e">
        <f>+#REF!</f>
        <v>#REF!</v>
      </c>
      <c r="B33" s="213" t="e">
        <f>+#REF!</f>
        <v>#REF!</v>
      </c>
      <c r="C33" s="190">
        <v>900000</v>
      </c>
      <c r="D33" s="190" t="e">
        <f t="shared" si="1"/>
        <v>#REF!</v>
      </c>
      <c r="E33" s="67" t="e">
        <f t="shared" si="12"/>
        <v>#REF!</v>
      </c>
      <c r="F33" s="67"/>
      <c r="G33" s="224" t="e">
        <f t="shared" si="13"/>
        <v>#REF!</v>
      </c>
      <c r="H33" s="67">
        <f t="shared" si="14"/>
        <v>145108.14</v>
      </c>
      <c r="I33" s="67" t="e">
        <f t="shared" si="15"/>
        <v>#REF!</v>
      </c>
      <c r="J33" s="68" t="e">
        <f t="shared" si="16"/>
        <v>#REF!</v>
      </c>
      <c r="K33" s="72"/>
    </row>
    <row r="34" spans="1:11" ht="15">
      <c r="A34" s="207" t="e">
        <f>+#REF!</f>
        <v>#REF!</v>
      </c>
      <c r="B34" s="213" t="e">
        <f>+#REF!</f>
        <v>#REF!</v>
      </c>
      <c r="C34" s="190">
        <v>900000</v>
      </c>
      <c r="D34" s="190" t="e">
        <f t="shared" si="1"/>
        <v>#REF!</v>
      </c>
      <c r="E34" s="67" t="e">
        <f t="shared" si="12"/>
        <v>#REF!</v>
      </c>
      <c r="F34" s="67"/>
      <c r="G34" s="224" t="e">
        <f t="shared" si="13"/>
        <v>#REF!</v>
      </c>
      <c r="H34" s="67">
        <f t="shared" si="14"/>
        <v>145108.14</v>
      </c>
      <c r="I34" s="67" t="e">
        <f t="shared" si="15"/>
        <v>#REF!</v>
      </c>
      <c r="J34" s="68" t="e">
        <f t="shared" si="16"/>
        <v>#REF!</v>
      </c>
      <c r="K34" s="72"/>
    </row>
    <row r="35" spans="1:11" ht="15">
      <c r="A35" s="207" t="e">
        <f>+#REF!</f>
        <v>#REF!</v>
      </c>
      <c r="B35" s="213" t="e">
        <f>+#REF!</f>
        <v>#REF!</v>
      </c>
      <c r="C35" s="190">
        <v>700000</v>
      </c>
      <c r="D35" s="190" t="e">
        <f t="shared" si="1"/>
        <v>#REF!</v>
      </c>
      <c r="E35" s="67" t="e">
        <f t="shared" si="12"/>
        <v>#REF!</v>
      </c>
      <c r="F35" s="67"/>
      <c r="G35" s="224" t="e">
        <f t="shared" si="13"/>
        <v>#REF!</v>
      </c>
      <c r="H35" s="67">
        <f t="shared" si="14"/>
        <v>145108.14</v>
      </c>
      <c r="I35" s="67" t="e">
        <f t="shared" si="15"/>
        <v>#REF!</v>
      </c>
      <c r="J35" s="68" t="e">
        <f t="shared" si="16"/>
        <v>#REF!</v>
      </c>
      <c r="K35" s="72"/>
    </row>
    <row r="36" spans="1:11" ht="15">
      <c r="A36" s="207" t="e">
        <f>+#REF!</f>
        <v>#REF!</v>
      </c>
      <c r="B36" s="213" t="e">
        <f>+#REF!</f>
        <v>#REF!</v>
      </c>
      <c r="C36" s="190">
        <v>700000</v>
      </c>
      <c r="D36" s="190" t="e">
        <f t="shared" si="1"/>
        <v>#REF!</v>
      </c>
      <c r="E36" s="67" t="e">
        <f t="shared" si="12"/>
        <v>#REF!</v>
      </c>
      <c r="F36" s="67"/>
      <c r="G36" s="224" t="e">
        <f t="shared" si="13"/>
        <v>#REF!</v>
      </c>
      <c r="H36" s="67">
        <f t="shared" si="14"/>
        <v>145108.14</v>
      </c>
      <c r="I36" s="67" t="e">
        <f t="shared" si="15"/>
        <v>#REF!</v>
      </c>
      <c r="J36" s="68" t="e">
        <f t="shared" si="16"/>
        <v>#REF!</v>
      </c>
      <c r="K36" s="72"/>
    </row>
    <row r="37" spans="1:11" ht="15.75" thickBot="1">
      <c r="A37" s="206" t="e">
        <f>+#REF!</f>
        <v>#REF!</v>
      </c>
      <c r="B37" s="217" t="e">
        <f>+#REF!</f>
        <v>#REF!</v>
      </c>
      <c r="C37" s="192">
        <v>700000</v>
      </c>
      <c r="D37" s="192" t="e">
        <f t="shared" si="1"/>
        <v>#REF!</v>
      </c>
      <c r="E37" s="81" t="e">
        <f t="shared" si="12"/>
        <v>#REF!</v>
      </c>
      <c r="F37" s="81"/>
      <c r="G37" s="225" t="e">
        <f t="shared" si="13"/>
        <v>#REF!</v>
      </c>
      <c r="H37" s="81">
        <f t="shared" si="14"/>
        <v>145108.14</v>
      </c>
      <c r="I37" s="81" t="e">
        <f t="shared" si="15"/>
        <v>#REF!</v>
      </c>
      <c r="J37" s="71" t="e">
        <f t="shared" si="16"/>
        <v>#REF!</v>
      </c>
      <c r="K37" s="72"/>
    </row>
    <row r="38" spans="1:11" ht="15">
      <c r="A38" s="207" t="e">
        <f>+#REF!</f>
        <v>#REF!</v>
      </c>
      <c r="B38" s="213" t="e">
        <f>+#REF!</f>
        <v>#REF!</v>
      </c>
      <c r="C38" s="190">
        <v>550000</v>
      </c>
      <c r="D38" s="190" t="e">
        <f t="shared" si="1"/>
        <v>#REF!</v>
      </c>
      <c r="E38" s="67" t="e">
        <f t="shared" si="12"/>
        <v>#REF!</v>
      </c>
      <c r="F38" s="67"/>
      <c r="G38" s="224" t="e">
        <f t="shared" si="13"/>
        <v>#REF!</v>
      </c>
      <c r="H38" s="67">
        <f t="shared" si="14"/>
        <v>145108.14</v>
      </c>
      <c r="I38" s="67" t="e">
        <f t="shared" si="15"/>
        <v>#REF!</v>
      </c>
      <c r="J38" s="68" t="e">
        <f t="shared" si="16"/>
        <v>#REF!</v>
      </c>
      <c r="K38" s="72"/>
    </row>
    <row r="39" spans="1:11" ht="15.75" thickBot="1">
      <c r="A39" s="186" t="e">
        <f>+#REF!</f>
        <v>#REF!</v>
      </c>
      <c r="B39" s="201" t="e">
        <f>+#REF!</f>
        <v>#REF!</v>
      </c>
      <c r="C39" s="192">
        <v>550000</v>
      </c>
      <c r="D39" s="190"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149</v>
      </c>
      <c r="B40" s="84" t="e">
        <f>+B26+B19+B12+B6</f>
        <v>#REF!</v>
      </c>
      <c r="C40" s="195">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6" t="s">
        <v>324</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18.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1431" t="s">
        <v>150</v>
      </c>
      <c r="B1" s="1432"/>
      <c r="C1" s="1432"/>
      <c r="D1" s="1432"/>
      <c r="E1" s="1432"/>
      <c r="F1" s="1432"/>
      <c r="G1" s="1432"/>
      <c r="H1" s="1432"/>
      <c r="I1" s="1432"/>
    </row>
    <row r="2" spans="1:8" ht="15.75" thickBot="1">
      <c r="A2" s="55"/>
      <c r="B2" s="56"/>
      <c r="C2" s="56"/>
      <c r="D2" s="56"/>
      <c r="E2" s="56"/>
      <c r="F2" s="56"/>
      <c r="G2" s="56"/>
      <c r="H2" s="56"/>
    </row>
    <row r="3" spans="1:8" s="58" customFormat="1" ht="14.25">
      <c r="A3" s="203" t="s">
        <v>129</v>
      </c>
      <c r="B3" s="40" t="s">
        <v>130</v>
      </c>
      <c r="C3" s="188" t="s">
        <v>131</v>
      </c>
      <c r="D3" s="40" t="s">
        <v>131</v>
      </c>
      <c r="E3" s="40" t="s">
        <v>151</v>
      </c>
      <c r="F3" s="40" t="s">
        <v>132</v>
      </c>
      <c r="G3" s="40" t="s">
        <v>151</v>
      </c>
      <c r="H3" s="57" t="s">
        <v>152</v>
      </c>
    </row>
    <row r="4" spans="1:8" s="58" customFormat="1" ht="15" customHeight="1" thickBot="1">
      <c r="A4" s="55"/>
      <c r="B4" s="59"/>
      <c r="C4" s="189" t="s">
        <v>301</v>
      </c>
      <c r="D4" s="59" t="s">
        <v>105</v>
      </c>
      <c r="E4" s="41" t="s">
        <v>153</v>
      </c>
      <c r="F4" s="41" t="s">
        <v>110</v>
      </c>
      <c r="G4" s="41" t="s">
        <v>110</v>
      </c>
      <c r="H4" s="60" t="s">
        <v>104</v>
      </c>
    </row>
    <row r="5" spans="1:10" s="58" customFormat="1" ht="15" customHeight="1" thickBot="1">
      <c r="A5" s="61" t="s">
        <v>133</v>
      </c>
      <c r="B5" s="62">
        <f>+B6+B7+B8+B9+B10</f>
        <v>5</v>
      </c>
      <c r="C5" s="219">
        <f aca="true" t="shared" si="0" ref="C5:H5">SUM(C6:C10)</f>
        <v>19000000</v>
      </c>
      <c r="D5" s="220">
        <f t="shared" si="0"/>
        <v>19000000</v>
      </c>
      <c r="E5" s="62">
        <f t="shared" si="0"/>
        <v>760000</v>
      </c>
      <c r="F5" s="63">
        <f t="shared" si="0"/>
        <v>3040000</v>
      </c>
      <c r="G5" s="64">
        <f t="shared" si="0"/>
        <v>22800000</v>
      </c>
      <c r="H5" s="65">
        <f t="shared" si="0"/>
        <v>273600000</v>
      </c>
      <c r="J5" s="66"/>
    </row>
    <row r="6" spans="1:10" s="58" customFormat="1" ht="15" customHeight="1">
      <c r="A6" s="204" t="s">
        <v>69</v>
      </c>
      <c r="B6" s="211">
        <v>1</v>
      </c>
      <c r="C6" s="196">
        <v>3800000</v>
      </c>
      <c r="D6" s="67">
        <v>3800000</v>
      </c>
      <c r="E6" s="68">
        <f>+D6*0.04</f>
        <v>152000</v>
      </c>
      <c r="F6" s="69">
        <f>+D6*0.16</f>
        <v>608000</v>
      </c>
      <c r="G6" s="69">
        <f>+F6+E6+D6</f>
        <v>4560000</v>
      </c>
      <c r="H6" s="70">
        <f>+G6*12</f>
        <v>54720000</v>
      </c>
      <c r="J6" s="66"/>
    </row>
    <row r="7" spans="1:8" s="58" customFormat="1" ht="15" customHeight="1">
      <c r="A7" s="205" t="s">
        <v>134</v>
      </c>
      <c r="B7" s="212">
        <v>1</v>
      </c>
      <c r="C7" s="198">
        <v>3800000</v>
      </c>
      <c r="D7" s="67">
        <v>3800000</v>
      </c>
      <c r="E7" s="68">
        <f>+D7*0.04</f>
        <v>152000</v>
      </c>
      <c r="F7" s="69">
        <f>+D7*0.16</f>
        <v>608000</v>
      </c>
      <c r="G7" s="69">
        <f>+F7+E7+D7</f>
        <v>4560000</v>
      </c>
      <c r="H7" s="68">
        <f>+G7*12</f>
        <v>54720000</v>
      </c>
    </row>
    <row r="8" spans="1:8" s="58" customFormat="1" ht="15" customHeight="1">
      <c r="A8" s="205" t="s">
        <v>43</v>
      </c>
      <c r="B8" s="212">
        <v>1</v>
      </c>
      <c r="C8" s="198">
        <v>3800000</v>
      </c>
      <c r="D8" s="67">
        <v>3800000</v>
      </c>
      <c r="E8" s="68">
        <f>+D8*0.04</f>
        <v>152000</v>
      </c>
      <c r="F8" s="69">
        <f>+D8*0.16</f>
        <v>608000</v>
      </c>
      <c r="G8" s="69">
        <f>+F8+E8+D8</f>
        <v>4560000</v>
      </c>
      <c r="H8" s="68">
        <f>+G8*12</f>
        <v>54720000</v>
      </c>
    </row>
    <row r="9" spans="1:8" s="58" customFormat="1" ht="15" customHeight="1">
      <c r="A9" s="205" t="s">
        <v>44</v>
      </c>
      <c r="B9" s="212">
        <v>1</v>
      </c>
      <c r="C9" s="198">
        <v>3800000</v>
      </c>
      <c r="D9" s="67">
        <v>3800000</v>
      </c>
      <c r="E9" s="68">
        <f>+D9*0.04</f>
        <v>152000</v>
      </c>
      <c r="F9" s="69">
        <f>+D9*0.16</f>
        <v>608000</v>
      </c>
      <c r="G9" s="69">
        <f>+F9+E9+D9</f>
        <v>4560000</v>
      </c>
      <c r="H9" s="68">
        <f>+G9*12</f>
        <v>54720000</v>
      </c>
    </row>
    <row r="10" spans="1:8" s="72" customFormat="1" ht="15" customHeight="1" thickBot="1">
      <c r="A10" s="206" t="s">
        <v>37</v>
      </c>
      <c r="B10" s="217">
        <v>1</v>
      </c>
      <c r="C10" s="197">
        <v>3800000</v>
      </c>
      <c r="D10" s="67">
        <v>3800000</v>
      </c>
      <c r="E10" s="68">
        <f>+D10*0.04</f>
        <v>152000</v>
      </c>
      <c r="F10" s="69">
        <f>+D10*0.16</f>
        <v>608000</v>
      </c>
      <c r="G10" s="69">
        <f>+F10+E10+D10</f>
        <v>4560000</v>
      </c>
      <c r="H10" s="68">
        <f>+G10*12</f>
        <v>54720000</v>
      </c>
    </row>
    <row r="11" spans="1:8" s="72" customFormat="1" ht="15" customHeight="1" thickBot="1">
      <c r="A11" s="73" t="s">
        <v>135</v>
      </c>
      <c r="B11" s="62">
        <f aca="true" t="shared" si="1" ref="B11:H11">SUM(B12:B17)</f>
        <v>6</v>
      </c>
      <c r="C11" s="199">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7" t="s">
        <v>136</v>
      </c>
      <c r="B12" s="213">
        <v>1</v>
      </c>
      <c r="C12" s="190">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8" t="s">
        <v>48</v>
      </c>
      <c r="B13" s="214">
        <v>1</v>
      </c>
      <c r="C13" s="190">
        <v>3000000</v>
      </c>
      <c r="D13" s="68">
        <v>3000000</v>
      </c>
      <c r="E13" s="68">
        <f t="shared" si="2"/>
        <v>120000</v>
      </c>
      <c r="F13" s="69">
        <f t="shared" si="3"/>
        <v>480000</v>
      </c>
      <c r="G13" s="69">
        <f t="shared" si="4"/>
        <v>3600000</v>
      </c>
      <c r="H13" s="68">
        <f t="shared" si="5"/>
        <v>43200000</v>
      </c>
    </row>
    <row r="14" spans="1:8" s="72" customFormat="1" ht="15" customHeight="1">
      <c r="A14" s="208" t="s">
        <v>46</v>
      </c>
      <c r="B14" s="214">
        <v>1</v>
      </c>
      <c r="C14" s="190">
        <v>2500000</v>
      </c>
      <c r="D14" s="68">
        <v>2500000</v>
      </c>
      <c r="E14" s="68">
        <f t="shared" si="2"/>
        <v>100000</v>
      </c>
      <c r="F14" s="69">
        <f t="shared" si="3"/>
        <v>400000</v>
      </c>
      <c r="G14" s="69">
        <f t="shared" si="4"/>
        <v>3000000</v>
      </c>
      <c r="H14" s="68">
        <f t="shared" si="5"/>
        <v>36000000</v>
      </c>
    </row>
    <row r="15" spans="1:8" s="72" customFormat="1" ht="15" customHeight="1">
      <c r="A15" s="207" t="s">
        <v>38</v>
      </c>
      <c r="B15" s="213">
        <v>1</v>
      </c>
      <c r="C15" s="190">
        <v>2500000</v>
      </c>
      <c r="D15" s="68">
        <v>2500000</v>
      </c>
      <c r="E15" s="68">
        <f t="shared" si="2"/>
        <v>100000</v>
      </c>
      <c r="F15" s="69">
        <f t="shared" si="3"/>
        <v>400000</v>
      </c>
      <c r="G15" s="69">
        <f t="shared" si="4"/>
        <v>3000000</v>
      </c>
      <c r="H15" s="68">
        <f t="shared" si="5"/>
        <v>36000000</v>
      </c>
    </row>
    <row r="16" spans="1:8" s="72" customFormat="1" ht="15" customHeight="1">
      <c r="A16" s="207" t="s">
        <v>137</v>
      </c>
      <c r="B16" s="213">
        <v>1</v>
      </c>
      <c r="C16" s="190">
        <v>2500000</v>
      </c>
      <c r="D16" s="68">
        <v>2500000</v>
      </c>
      <c r="E16" s="68">
        <f t="shared" si="2"/>
        <v>100000</v>
      </c>
      <c r="F16" s="69">
        <f t="shared" si="3"/>
        <v>400000</v>
      </c>
      <c r="G16" s="69">
        <f t="shared" si="4"/>
        <v>3000000</v>
      </c>
      <c r="H16" s="68">
        <f t="shared" si="5"/>
        <v>36000000</v>
      </c>
    </row>
    <row r="17" spans="1:8" s="72" customFormat="1" ht="15" customHeight="1" thickBot="1">
      <c r="A17" s="202" t="s">
        <v>47</v>
      </c>
      <c r="B17" s="215">
        <v>1</v>
      </c>
      <c r="C17" s="190">
        <v>2500000</v>
      </c>
      <c r="D17" s="68">
        <v>2500000</v>
      </c>
      <c r="E17" s="68">
        <f t="shared" si="2"/>
        <v>100000</v>
      </c>
      <c r="F17" s="69">
        <f t="shared" si="3"/>
        <v>400000</v>
      </c>
      <c r="G17" s="69">
        <f t="shared" si="4"/>
        <v>3000000</v>
      </c>
      <c r="H17" s="68">
        <f t="shared" si="5"/>
        <v>36000000</v>
      </c>
    </row>
    <row r="18" spans="1:8" s="72" customFormat="1" ht="15" customHeight="1" thickBot="1">
      <c r="A18" s="73" t="s">
        <v>138</v>
      </c>
      <c r="B18" s="62">
        <f>+B19+B20+B22+B24</f>
        <v>22</v>
      </c>
      <c r="C18" s="199">
        <f aca="true" t="shared" si="6" ref="C18:H18">SUM(C19:C24)</f>
        <v>7580000</v>
      </c>
      <c r="D18" s="220">
        <f t="shared" si="6"/>
        <v>43540000</v>
      </c>
      <c r="E18" s="62">
        <f t="shared" si="6"/>
        <v>1521600</v>
      </c>
      <c r="F18" s="74">
        <f t="shared" si="6"/>
        <v>6086400</v>
      </c>
      <c r="G18" s="75">
        <f t="shared" si="6"/>
        <v>51148000</v>
      </c>
      <c r="H18" s="62">
        <f t="shared" si="6"/>
        <v>613776000</v>
      </c>
    </row>
    <row r="19" spans="1:8" s="72" customFormat="1" ht="15" customHeight="1">
      <c r="A19" s="209" t="s">
        <v>139</v>
      </c>
      <c r="B19" s="216">
        <v>6</v>
      </c>
      <c r="C19" s="191">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7" t="s">
        <v>154</v>
      </c>
      <c r="B20" s="213">
        <v>10</v>
      </c>
      <c r="C20" s="190">
        <v>1800000</v>
      </c>
      <c r="D20" s="68">
        <f t="shared" si="7"/>
        <v>18000000</v>
      </c>
      <c r="E20" s="68">
        <f t="shared" si="8"/>
        <v>720000</v>
      </c>
      <c r="F20" s="221">
        <f>+D20*16%</f>
        <v>2880000</v>
      </c>
      <c r="G20" s="69">
        <f t="shared" si="9"/>
        <v>21600000</v>
      </c>
      <c r="H20" s="68">
        <f t="shared" si="10"/>
        <v>259200000</v>
      </c>
    </row>
    <row r="21" spans="1:8" s="72" customFormat="1" ht="15" customHeight="1">
      <c r="A21" s="207" t="s">
        <v>298</v>
      </c>
      <c r="B21" s="213">
        <v>10</v>
      </c>
      <c r="C21" s="190">
        <v>400000</v>
      </c>
      <c r="D21" s="68">
        <f t="shared" si="7"/>
        <v>4000000</v>
      </c>
      <c r="E21" s="68">
        <v>0</v>
      </c>
      <c r="F21" s="69">
        <v>0</v>
      </c>
      <c r="G21" s="69">
        <f>+F21+E21+D21</f>
        <v>4000000</v>
      </c>
      <c r="H21" s="68">
        <f t="shared" si="10"/>
        <v>48000000</v>
      </c>
    </row>
    <row r="22" spans="1:8" s="72" customFormat="1" ht="15" customHeight="1">
      <c r="A22" s="207" t="s">
        <v>140</v>
      </c>
      <c r="B22" s="213">
        <v>3</v>
      </c>
      <c r="C22" s="190">
        <v>1380000</v>
      </c>
      <c r="D22" s="68">
        <f t="shared" si="7"/>
        <v>4140000</v>
      </c>
      <c r="E22" s="68">
        <f t="shared" si="8"/>
        <v>165600</v>
      </c>
      <c r="F22" s="69">
        <f>+D22*16%</f>
        <v>662400</v>
      </c>
      <c r="G22" s="69">
        <f t="shared" si="9"/>
        <v>4968000</v>
      </c>
      <c r="H22" s="68">
        <f t="shared" si="10"/>
        <v>59616000</v>
      </c>
    </row>
    <row r="23" spans="1:8" s="72" customFormat="1" ht="15" customHeight="1">
      <c r="A23" s="202" t="s">
        <v>299</v>
      </c>
      <c r="B23" s="215">
        <v>3</v>
      </c>
      <c r="C23" s="190">
        <v>500000</v>
      </c>
      <c r="D23" s="68">
        <f t="shared" si="7"/>
        <v>1500000</v>
      </c>
      <c r="E23" s="68">
        <v>0</v>
      </c>
      <c r="F23" s="69">
        <v>0</v>
      </c>
      <c r="G23" s="69">
        <f>+F23+E23+D23</f>
        <v>1500000</v>
      </c>
      <c r="H23" s="68">
        <f t="shared" si="10"/>
        <v>18000000</v>
      </c>
    </row>
    <row r="24" spans="1:8" s="72" customFormat="1" ht="15" customHeight="1" thickBot="1">
      <c r="A24" s="206" t="s">
        <v>141</v>
      </c>
      <c r="B24" s="217">
        <v>3</v>
      </c>
      <c r="C24" s="192">
        <v>1700000</v>
      </c>
      <c r="D24" s="71">
        <f t="shared" si="7"/>
        <v>5100000</v>
      </c>
      <c r="E24" s="68">
        <f t="shared" si="8"/>
        <v>204000</v>
      </c>
      <c r="F24" s="69">
        <f>+D24*0.16</f>
        <v>816000</v>
      </c>
      <c r="G24" s="69">
        <f t="shared" si="9"/>
        <v>6120000</v>
      </c>
      <c r="H24" s="68">
        <f t="shared" si="10"/>
        <v>73440000</v>
      </c>
    </row>
    <row r="25" spans="1:8" s="72" customFormat="1" ht="15" customHeight="1" thickBot="1">
      <c r="A25" s="73" t="s">
        <v>142</v>
      </c>
      <c r="B25" s="62">
        <f aca="true" t="shared" si="11" ref="B25:H25">SUM(B26:B38)</f>
        <v>13</v>
      </c>
      <c r="C25" s="199">
        <f t="shared" si="11"/>
        <v>12700000</v>
      </c>
      <c r="D25" s="220">
        <f t="shared" si="11"/>
        <v>12700000</v>
      </c>
      <c r="E25" s="62">
        <f t="shared" si="11"/>
        <v>508000</v>
      </c>
      <c r="F25" s="74">
        <f t="shared" si="11"/>
        <v>2032000</v>
      </c>
      <c r="G25" s="74">
        <f t="shared" si="11"/>
        <v>15240000</v>
      </c>
      <c r="H25" s="62">
        <f t="shared" si="11"/>
        <v>182880000</v>
      </c>
    </row>
    <row r="26" spans="1:8" s="72" customFormat="1" ht="15" customHeight="1" thickBot="1">
      <c r="A26" s="210" t="s">
        <v>123</v>
      </c>
      <c r="B26" s="218">
        <v>1</v>
      </c>
      <c r="C26" s="193">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8" t="s">
        <v>122</v>
      </c>
      <c r="B27" s="214">
        <v>1</v>
      </c>
      <c r="C27" s="191">
        <v>1300000</v>
      </c>
      <c r="D27" s="79">
        <f t="shared" si="12"/>
        <v>1300000</v>
      </c>
      <c r="E27" s="70">
        <f t="shared" si="13"/>
        <v>52000</v>
      </c>
      <c r="F27" s="79">
        <f t="shared" si="14"/>
        <v>208000</v>
      </c>
      <c r="G27" s="80">
        <f t="shared" si="15"/>
        <v>1560000</v>
      </c>
      <c r="H27" s="70">
        <f t="shared" si="16"/>
        <v>18720000</v>
      </c>
    </row>
    <row r="28" spans="1:8" s="72" customFormat="1" ht="15" customHeight="1">
      <c r="A28" s="207" t="s">
        <v>121</v>
      </c>
      <c r="B28" s="213">
        <v>1</v>
      </c>
      <c r="C28" s="190">
        <v>1300000</v>
      </c>
      <c r="D28" s="67">
        <f t="shared" si="12"/>
        <v>1300000</v>
      </c>
      <c r="E28" s="68">
        <f t="shared" si="13"/>
        <v>52000</v>
      </c>
      <c r="F28" s="67">
        <f t="shared" si="14"/>
        <v>208000</v>
      </c>
      <c r="G28" s="69">
        <f t="shared" si="15"/>
        <v>1560000</v>
      </c>
      <c r="H28" s="68">
        <f t="shared" si="16"/>
        <v>18720000</v>
      </c>
    </row>
    <row r="29" spans="1:8" s="72" customFormat="1" ht="15" customHeight="1" thickBot="1">
      <c r="A29" s="206" t="s">
        <v>143</v>
      </c>
      <c r="B29" s="217">
        <v>1</v>
      </c>
      <c r="C29" s="192">
        <v>1300000</v>
      </c>
      <c r="D29" s="67">
        <f t="shared" si="12"/>
        <v>1300000</v>
      </c>
      <c r="E29" s="71">
        <f t="shared" si="13"/>
        <v>52000</v>
      </c>
      <c r="F29" s="81">
        <f t="shared" si="14"/>
        <v>208000</v>
      </c>
      <c r="G29" s="82">
        <f t="shared" si="15"/>
        <v>1560000</v>
      </c>
      <c r="H29" s="71">
        <f t="shared" si="16"/>
        <v>18720000</v>
      </c>
    </row>
    <row r="30" spans="1:8" s="72" customFormat="1" ht="15" customHeight="1">
      <c r="A30" s="208" t="s">
        <v>144</v>
      </c>
      <c r="B30" s="214">
        <v>1</v>
      </c>
      <c r="C30" s="194">
        <v>900000</v>
      </c>
      <c r="D30" s="70">
        <f t="shared" si="12"/>
        <v>900000</v>
      </c>
      <c r="E30" s="70">
        <f t="shared" si="13"/>
        <v>36000</v>
      </c>
      <c r="F30" s="79">
        <f t="shared" si="14"/>
        <v>144000</v>
      </c>
      <c r="G30" s="80">
        <f t="shared" si="15"/>
        <v>1080000</v>
      </c>
      <c r="H30" s="70">
        <f t="shared" si="16"/>
        <v>12960000</v>
      </c>
    </row>
    <row r="31" spans="1:8" s="72" customFormat="1" ht="15" customHeight="1">
      <c r="A31" s="202" t="s">
        <v>145</v>
      </c>
      <c r="B31" s="215">
        <v>1</v>
      </c>
      <c r="C31" s="194">
        <v>900000</v>
      </c>
      <c r="D31" s="68">
        <f t="shared" si="12"/>
        <v>900000</v>
      </c>
      <c r="E31" s="68">
        <f t="shared" si="13"/>
        <v>36000</v>
      </c>
      <c r="F31" s="67">
        <f t="shared" si="14"/>
        <v>144000</v>
      </c>
      <c r="G31" s="69">
        <f t="shared" si="15"/>
        <v>1080000</v>
      </c>
      <c r="H31" s="68">
        <f t="shared" si="16"/>
        <v>12960000</v>
      </c>
    </row>
    <row r="32" spans="1:8" s="72" customFormat="1" ht="15" customHeight="1">
      <c r="A32" s="202" t="s">
        <v>155</v>
      </c>
      <c r="B32" s="215">
        <v>1</v>
      </c>
      <c r="C32" s="194">
        <v>900000</v>
      </c>
      <c r="D32" s="68">
        <f t="shared" si="12"/>
        <v>900000</v>
      </c>
      <c r="E32" s="68">
        <f t="shared" si="13"/>
        <v>36000</v>
      </c>
      <c r="F32" s="67">
        <f t="shared" si="14"/>
        <v>144000</v>
      </c>
      <c r="G32" s="69">
        <f t="shared" si="15"/>
        <v>1080000</v>
      </c>
      <c r="H32" s="68">
        <f t="shared" si="16"/>
        <v>12960000</v>
      </c>
    </row>
    <row r="33" spans="1:8" s="72" customFormat="1" ht="15" customHeight="1">
      <c r="A33" s="202" t="s">
        <v>156</v>
      </c>
      <c r="B33" s="215">
        <v>1</v>
      </c>
      <c r="C33" s="194">
        <v>900000</v>
      </c>
      <c r="D33" s="68">
        <f t="shared" si="12"/>
        <v>900000</v>
      </c>
      <c r="E33" s="68">
        <f t="shared" si="13"/>
        <v>36000</v>
      </c>
      <c r="F33" s="67">
        <f t="shared" si="14"/>
        <v>144000</v>
      </c>
      <c r="G33" s="69">
        <f t="shared" si="15"/>
        <v>1080000</v>
      </c>
      <c r="H33" s="68">
        <f t="shared" si="16"/>
        <v>12960000</v>
      </c>
    </row>
    <row r="34" spans="1:8" s="72" customFormat="1" ht="15" customHeight="1">
      <c r="A34" s="202" t="s">
        <v>146</v>
      </c>
      <c r="B34" s="215">
        <v>1</v>
      </c>
      <c r="C34" s="194">
        <v>700000</v>
      </c>
      <c r="D34" s="68">
        <f t="shared" si="12"/>
        <v>700000</v>
      </c>
      <c r="E34" s="68">
        <f t="shared" si="13"/>
        <v>28000</v>
      </c>
      <c r="F34" s="67">
        <f t="shared" si="14"/>
        <v>112000</v>
      </c>
      <c r="G34" s="69">
        <f t="shared" si="15"/>
        <v>840000</v>
      </c>
      <c r="H34" s="68">
        <f t="shared" si="16"/>
        <v>10080000</v>
      </c>
    </row>
    <row r="35" spans="1:8" s="72" customFormat="1" ht="15" customHeight="1">
      <c r="A35" s="202" t="s">
        <v>147</v>
      </c>
      <c r="B35" s="215">
        <v>1</v>
      </c>
      <c r="C35" s="194">
        <v>700000</v>
      </c>
      <c r="D35" s="68">
        <f t="shared" si="12"/>
        <v>700000</v>
      </c>
      <c r="E35" s="68">
        <f t="shared" si="13"/>
        <v>28000</v>
      </c>
      <c r="F35" s="67">
        <f t="shared" si="14"/>
        <v>112000</v>
      </c>
      <c r="G35" s="69">
        <f t="shared" si="15"/>
        <v>840000</v>
      </c>
      <c r="H35" s="68">
        <f t="shared" si="16"/>
        <v>10080000</v>
      </c>
    </row>
    <row r="36" spans="1:8" s="72" customFormat="1" ht="15" customHeight="1" thickBot="1">
      <c r="A36" s="206" t="s">
        <v>300</v>
      </c>
      <c r="B36" s="217">
        <v>1</v>
      </c>
      <c r="C36" s="187">
        <v>700000</v>
      </c>
      <c r="D36" s="71">
        <f t="shared" si="12"/>
        <v>700000</v>
      </c>
      <c r="E36" s="71">
        <f t="shared" si="13"/>
        <v>28000</v>
      </c>
      <c r="F36" s="81">
        <f t="shared" si="14"/>
        <v>112000</v>
      </c>
      <c r="G36" s="82">
        <f t="shared" si="15"/>
        <v>840000</v>
      </c>
      <c r="H36" s="71">
        <f t="shared" si="16"/>
        <v>10080000</v>
      </c>
    </row>
    <row r="37" spans="1:8" s="72" customFormat="1" ht="15" customHeight="1">
      <c r="A37" s="202" t="s">
        <v>148</v>
      </c>
      <c r="B37" s="200">
        <v>1</v>
      </c>
      <c r="C37" s="194">
        <v>550000</v>
      </c>
      <c r="D37" s="68">
        <f t="shared" si="12"/>
        <v>550000</v>
      </c>
      <c r="E37" s="68">
        <f t="shared" si="13"/>
        <v>22000</v>
      </c>
      <c r="F37" s="69">
        <f t="shared" si="14"/>
        <v>88000</v>
      </c>
      <c r="G37" s="69">
        <f t="shared" si="15"/>
        <v>660000</v>
      </c>
      <c r="H37" s="68">
        <f t="shared" si="16"/>
        <v>7920000</v>
      </c>
    </row>
    <row r="38" spans="1:8" s="72" customFormat="1" ht="15" customHeight="1" thickBot="1">
      <c r="A38" s="186" t="s">
        <v>128</v>
      </c>
      <c r="B38" s="201">
        <v>1</v>
      </c>
      <c r="C38" s="192">
        <v>550000</v>
      </c>
      <c r="D38" s="71">
        <f t="shared" si="12"/>
        <v>550000</v>
      </c>
      <c r="E38" s="68">
        <f t="shared" si="13"/>
        <v>22000</v>
      </c>
      <c r="F38" s="69">
        <f t="shared" si="14"/>
        <v>88000</v>
      </c>
      <c r="G38" s="69">
        <f t="shared" si="15"/>
        <v>660000</v>
      </c>
      <c r="H38" s="68">
        <f t="shared" si="16"/>
        <v>7920000</v>
      </c>
    </row>
    <row r="39" spans="1:8" s="72" customFormat="1" ht="15" customHeight="1" thickBot="1">
      <c r="A39" s="83" t="s">
        <v>149</v>
      </c>
      <c r="B39" s="84">
        <f aca="true" t="shared" si="17" ref="B39:H39">+B25+B18+B11+B5</f>
        <v>46</v>
      </c>
      <c r="C39" s="195">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87</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88</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1435" t="s">
        <v>89</v>
      </c>
      <c r="C5" s="96"/>
      <c r="D5" s="97"/>
      <c r="E5" s="98" t="s">
        <v>90</v>
      </c>
      <c r="F5" s="99" t="s">
        <v>91</v>
      </c>
      <c r="G5" s="100" t="s">
        <v>91</v>
      </c>
      <c r="H5" s="53" t="s">
        <v>92</v>
      </c>
      <c r="I5" s="101" t="s">
        <v>93</v>
      </c>
      <c r="J5" s="53" t="s">
        <v>94</v>
      </c>
      <c r="K5" s="1433" t="s">
        <v>92</v>
      </c>
      <c r="L5" s="101" t="s">
        <v>95</v>
      </c>
      <c r="M5" s="101" t="s">
        <v>96</v>
      </c>
      <c r="N5" s="101" t="s">
        <v>97</v>
      </c>
      <c r="O5" s="53" t="s">
        <v>98</v>
      </c>
      <c r="P5" s="53" t="s">
        <v>99</v>
      </c>
      <c r="Q5" s="1433" t="s">
        <v>100</v>
      </c>
      <c r="R5" s="1433" t="s">
        <v>101</v>
      </c>
      <c r="S5" s="102" t="s">
        <v>102</v>
      </c>
      <c r="T5" s="101"/>
      <c r="U5" s="53">
        <v>0.12</v>
      </c>
      <c r="V5" s="53">
        <v>0.03</v>
      </c>
      <c r="W5" s="53">
        <v>0.02</v>
      </c>
      <c r="X5" s="53">
        <v>0.04</v>
      </c>
      <c r="Y5" s="53">
        <v>0.19397</v>
      </c>
      <c r="Z5" s="1433" t="s">
        <v>39</v>
      </c>
      <c r="AA5" s="1433" t="s">
        <v>103</v>
      </c>
      <c r="AB5" s="103" t="s">
        <v>104</v>
      </c>
      <c r="AC5" s="89" t="s">
        <v>105</v>
      </c>
      <c r="AD5" s="40" t="s">
        <v>106</v>
      </c>
      <c r="AE5" s="89" t="s">
        <v>105</v>
      </c>
      <c r="AF5" s="104"/>
      <c r="AG5" s="104"/>
      <c r="AH5" s="104"/>
      <c r="AI5" s="89" t="s">
        <v>104</v>
      </c>
    </row>
    <row r="6" spans="2:35" ht="15" thickBot="1">
      <c r="B6" s="1436"/>
      <c r="C6" s="105"/>
      <c r="D6" s="105"/>
      <c r="E6" s="106" t="s">
        <v>107</v>
      </c>
      <c r="F6" s="106" t="s">
        <v>108</v>
      </c>
      <c r="G6" s="44" t="s">
        <v>110</v>
      </c>
      <c r="H6" s="44"/>
      <c r="I6" s="107"/>
      <c r="J6" s="44" t="s">
        <v>111</v>
      </c>
      <c r="K6" s="1434"/>
      <c r="L6" s="107"/>
      <c r="M6" s="107"/>
      <c r="N6" s="44" t="s">
        <v>91</v>
      </c>
      <c r="O6" s="44"/>
      <c r="P6" s="44" t="s">
        <v>112</v>
      </c>
      <c r="Q6" s="1434"/>
      <c r="R6" s="1434"/>
      <c r="S6" s="44" t="s">
        <v>113</v>
      </c>
      <c r="T6" s="44" t="s">
        <v>114</v>
      </c>
      <c r="U6" s="44" t="s">
        <v>115</v>
      </c>
      <c r="V6" s="44" t="s">
        <v>116</v>
      </c>
      <c r="W6" s="44" t="s">
        <v>117</v>
      </c>
      <c r="X6" s="44" t="s">
        <v>118</v>
      </c>
      <c r="Y6" s="44" t="s">
        <v>119</v>
      </c>
      <c r="Z6" s="1434"/>
      <c r="AA6" s="1434"/>
      <c r="AB6" s="108">
        <v>2004</v>
      </c>
      <c r="AC6" s="41">
        <v>2004</v>
      </c>
      <c r="AD6" s="373">
        <v>0.05</v>
      </c>
      <c r="AE6" s="41">
        <v>2005</v>
      </c>
      <c r="AF6" s="34"/>
      <c r="AG6" s="34"/>
      <c r="AH6" s="34"/>
      <c r="AI6" s="41">
        <v>2005</v>
      </c>
    </row>
    <row r="7" spans="2:35" ht="15">
      <c r="B7" s="109" t="s">
        <v>157</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120</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252</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253</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120</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254</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255</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121</v>
      </c>
      <c r="C14" s="116" t="s">
        <v>41</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122</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123</v>
      </c>
      <c r="C16" s="116" t="s">
        <v>41</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124</v>
      </c>
      <c r="C17" s="116" t="s">
        <v>125</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126</v>
      </c>
      <c r="C18" s="116" t="s">
        <v>41</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127</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128</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256</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109</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2.xml><?xml version="1.0" encoding="utf-8"?>
<worksheet xmlns="http://schemas.openxmlformats.org/spreadsheetml/2006/main" xmlns:r="http://schemas.openxmlformats.org/officeDocument/2006/relationships">
  <sheetPr>
    <pageSetUpPr fitToPage="1"/>
  </sheetPr>
  <dimension ref="A1:AQ40"/>
  <sheetViews>
    <sheetView view="pageBreakPreview" zoomScale="60" zoomScaleNormal="75" zoomScalePageLayoutView="0" workbookViewId="0" topLeftCell="A13">
      <selection activeCell="C26" sqref="C26"/>
    </sheetView>
  </sheetViews>
  <sheetFormatPr defaultColWidth="11.421875" defaultRowHeight="12.75"/>
  <cols>
    <col min="1" max="1" width="35.421875" style="0" customWidth="1"/>
    <col min="2" max="2" width="30.57421875" style="0" customWidth="1"/>
    <col min="3" max="3" width="29.140625" style="0" customWidth="1"/>
    <col min="4" max="4" width="14.140625" style="0" bestFit="1" customWidth="1"/>
    <col min="5" max="5" width="14.140625" style="0" customWidth="1"/>
    <col min="6" max="6" width="14.8515625" style="0" bestFit="1" customWidth="1"/>
    <col min="7" max="7" width="12.28125" style="0" bestFit="1" customWidth="1"/>
  </cols>
  <sheetData>
    <row r="1" spans="1:3" ht="12.75">
      <c r="A1" s="402"/>
      <c r="B1" s="402"/>
      <c r="C1" s="402"/>
    </row>
    <row r="2" spans="1:3" ht="15">
      <c r="A2" s="1313" t="s">
        <v>66</v>
      </c>
      <c r="B2" s="1313"/>
      <c r="C2" s="1313"/>
    </row>
    <row r="3" spans="1:3" ht="15">
      <c r="A3" s="1313" t="s">
        <v>62</v>
      </c>
      <c r="B3" s="1313"/>
      <c r="C3" s="1313"/>
    </row>
    <row r="4" spans="1:3" ht="15">
      <c r="A4" s="1313" t="s">
        <v>663</v>
      </c>
      <c r="B4" s="1313"/>
      <c r="C4" s="1313"/>
    </row>
    <row r="5" spans="1:3" ht="12.75">
      <c r="A5" s="402"/>
      <c r="B5" s="402"/>
      <c r="C5" s="402"/>
    </row>
    <row r="6" spans="1:3" ht="38.25" customHeight="1">
      <c r="A6" s="1314" t="s">
        <v>520</v>
      </c>
      <c r="B6" s="1315"/>
      <c r="C6" s="531" t="s">
        <v>109</v>
      </c>
    </row>
    <row r="7" spans="1:3" ht="30.75" customHeight="1">
      <c r="A7" s="1316" t="s">
        <v>521</v>
      </c>
      <c r="B7" s="1317"/>
      <c r="C7" s="404">
        <f>(10688000/8)*12</f>
        <v>16032000</v>
      </c>
    </row>
    <row r="8" spans="1:3" ht="36" customHeight="1">
      <c r="A8" s="1309" t="s">
        <v>425</v>
      </c>
      <c r="B8" s="1310"/>
      <c r="C8" s="404">
        <v>29050000</v>
      </c>
    </row>
    <row r="9" spans="1:3" ht="33.75" customHeight="1">
      <c r="A9" s="1309" t="s">
        <v>214</v>
      </c>
      <c r="B9" s="1310"/>
      <c r="C9" s="404">
        <f>1000000*12</f>
        <v>12000000</v>
      </c>
    </row>
    <row r="10" spans="1:3" ht="26.25" customHeight="1">
      <c r="A10" s="1309"/>
      <c r="B10" s="1310"/>
      <c r="C10" s="404"/>
    </row>
    <row r="11" spans="1:3" ht="49.5" customHeight="1">
      <c r="A11" s="1311" t="s">
        <v>555</v>
      </c>
      <c r="B11" s="1312"/>
      <c r="C11" s="403">
        <f>SUM(C7:C10)</f>
        <v>57082000</v>
      </c>
    </row>
    <row r="12" spans="1:3" s="607" customFormat="1" ht="15.75" customHeight="1">
      <c r="A12" s="1307"/>
      <c r="B12" s="1307"/>
      <c r="C12" s="1307"/>
    </row>
    <row r="13" spans="1:3" s="607" customFormat="1" ht="12.75">
      <c r="A13" s="1307"/>
      <c r="B13" s="1307"/>
      <c r="C13" s="1307"/>
    </row>
    <row r="14" spans="1:43" ht="15">
      <c r="A14" s="526"/>
      <c r="B14" s="526"/>
      <c r="C14" s="526"/>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row>
    <row r="15" spans="1:3" ht="45" customHeight="1">
      <c r="A15" s="1308" t="s">
        <v>554</v>
      </c>
      <c r="B15" s="1308"/>
      <c r="C15" s="531" t="s">
        <v>109</v>
      </c>
    </row>
    <row r="16" spans="1:3" ht="26.25" customHeight="1">
      <c r="A16" s="1309" t="s">
        <v>760</v>
      </c>
      <c r="B16" s="1310"/>
      <c r="C16" s="404">
        <f>+'[20]PRESUPUESTO TECNICA 2011-Final'!$F$62</f>
        <v>100000000</v>
      </c>
    </row>
    <row r="17" spans="1:11" ht="26.25" customHeight="1">
      <c r="A17" s="1305" t="s">
        <v>754</v>
      </c>
      <c r="B17" s="1305"/>
      <c r="C17" s="404">
        <f>+'[20]PRESUPUESTO TECNICA 2011-Final'!$F$48</f>
        <v>59640000</v>
      </c>
      <c r="D17" s="933"/>
      <c r="E17" s="429"/>
      <c r="F17" s="375"/>
      <c r="G17" s="375"/>
      <c r="H17" s="375"/>
      <c r="I17" s="375"/>
      <c r="J17" s="375"/>
      <c r="K17" s="375"/>
    </row>
    <row r="18" spans="1:11" ht="26.25" customHeight="1">
      <c r="A18" s="1309" t="s">
        <v>689</v>
      </c>
      <c r="B18" s="1310"/>
      <c r="C18" s="404">
        <f>+'[20]PRESUPUESTO TECNICA 2011-Final'!$F$24+'[20]PRESUPUESTO TECNICA 2011-Final'!$F$36</f>
        <v>280753740</v>
      </c>
      <c r="D18" s="933"/>
      <c r="E18" s="429"/>
      <c r="F18" s="375"/>
      <c r="G18" s="375"/>
      <c r="H18" s="375"/>
      <c r="I18" s="375"/>
      <c r="J18" s="375"/>
      <c r="K18" s="375"/>
    </row>
    <row r="19" spans="1:11" ht="26.25" customHeight="1">
      <c r="A19" s="1309" t="s">
        <v>563</v>
      </c>
      <c r="B19" s="1310"/>
      <c r="C19" s="404">
        <f>+'[20]PRESUPUESTO TECNICA 2011-Final'!$F$30</f>
        <v>140277000</v>
      </c>
      <c r="D19" s="933"/>
      <c r="E19" s="429"/>
      <c r="F19" s="375"/>
      <c r="G19" s="375"/>
      <c r="H19" s="375"/>
      <c r="I19" s="375"/>
      <c r="J19" s="375"/>
      <c r="K19" s="375"/>
    </row>
    <row r="20" spans="1:11" ht="26.25" customHeight="1">
      <c r="A20" s="1309" t="s">
        <v>744</v>
      </c>
      <c r="B20" s="1310"/>
      <c r="C20" s="404">
        <v>185000000</v>
      </c>
      <c r="D20" s="933"/>
      <c r="E20" s="429"/>
      <c r="F20" s="375"/>
      <c r="G20" s="375"/>
      <c r="H20" s="375"/>
      <c r="I20" s="375"/>
      <c r="J20" s="375"/>
      <c r="K20" s="375"/>
    </row>
    <row r="21" spans="1:11" ht="26.25" customHeight="1">
      <c r="A21" s="1309" t="s">
        <v>745</v>
      </c>
      <c r="B21" s="1310"/>
      <c r="C21" s="404">
        <v>20000000</v>
      </c>
      <c r="D21" s="933"/>
      <c r="E21" s="429"/>
      <c r="F21" s="375"/>
      <c r="G21" s="375"/>
      <c r="H21" s="375"/>
      <c r="I21" s="375"/>
      <c r="J21" s="375"/>
      <c r="K21" s="375"/>
    </row>
    <row r="22" spans="1:11" ht="29.25" customHeight="1">
      <c r="A22" s="1305" t="s">
        <v>629</v>
      </c>
      <c r="B22" s="1305"/>
      <c r="C22" s="898">
        <f>+'[22]Otros'!$D$21</f>
        <v>1003896071</v>
      </c>
      <c r="D22" s="933"/>
      <c r="E22" s="933"/>
      <c r="F22" s="933"/>
      <c r="G22" s="375"/>
      <c r="H22" s="375"/>
      <c r="I22" s="375"/>
      <c r="J22" s="375"/>
      <c r="K22" s="375"/>
    </row>
    <row r="23" spans="1:11" ht="26.25" customHeight="1">
      <c r="A23" s="1305" t="s">
        <v>630</v>
      </c>
      <c r="B23" s="1305"/>
      <c r="C23" s="898">
        <f>+'[22]Otros'!$B$25</f>
        <v>486470541.88352007</v>
      </c>
      <c r="D23" s="933"/>
      <c r="E23" s="933"/>
      <c r="F23" s="934"/>
      <c r="G23" s="375"/>
      <c r="H23" s="375"/>
      <c r="I23" s="375"/>
      <c r="J23" s="375"/>
      <c r="K23" s="375"/>
    </row>
    <row r="24" spans="1:11" ht="30" customHeight="1">
      <c r="A24" s="1305" t="s">
        <v>631</v>
      </c>
      <c r="B24" s="1305"/>
      <c r="C24" s="405">
        <f>+'[22]Otros'!$B$23</f>
        <v>195454046.51382482</v>
      </c>
      <c r="D24" s="933"/>
      <c r="E24" s="933"/>
      <c r="F24" s="934"/>
      <c r="G24" s="933"/>
      <c r="H24" s="375"/>
      <c r="I24" s="375"/>
      <c r="J24" s="375"/>
      <c r="K24" s="375"/>
    </row>
    <row r="25" spans="1:11" ht="30" customHeight="1">
      <c r="A25" s="1305" t="s">
        <v>762</v>
      </c>
      <c r="B25" s="1305"/>
      <c r="C25" s="405">
        <v>0</v>
      </c>
      <c r="D25" s="933"/>
      <c r="E25" s="375"/>
      <c r="F25" s="934"/>
      <c r="G25" s="375"/>
      <c r="H25" s="375"/>
      <c r="I25" s="375"/>
      <c r="J25" s="375"/>
      <c r="K25" s="375"/>
    </row>
    <row r="26" spans="1:11" ht="34.5" customHeight="1">
      <c r="A26" s="1306" t="s">
        <v>557</v>
      </c>
      <c r="B26" s="1306"/>
      <c r="C26" s="403">
        <f>SUM(C16:C25)</f>
        <v>2471491399.397345</v>
      </c>
      <c r="D26" s="375"/>
      <c r="E26" s="375"/>
      <c r="F26" s="375"/>
      <c r="G26" s="375"/>
      <c r="H26" s="375"/>
      <c r="I26" s="375"/>
      <c r="J26" s="375"/>
      <c r="K26" s="375"/>
    </row>
    <row r="27" spans="1:11" s="607" customFormat="1" ht="12.75">
      <c r="A27" s="1307"/>
      <c r="B27" s="1307"/>
      <c r="C27" s="1307"/>
      <c r="D27" s="426"/>
      <c r="E27" s="426"/>
      <c r="F27" s="426"/>
      <c r="G27" s="426"/>
      <c r="H27" s="426"/>
      <c r="I27" s="426"/>
      <c r="J27" s="426"/>
      <c r="K27" s="426"/>
    </row>
    <row r="28" spans="1:11" s="607" customFormat="1" ht="12.75">
      <c r="A28" s="1307"/>
      <c r="B28" s="1307"/>
      <c r="C28" s="1307"/>
      <c r="D28" s="426"/>
      <c r="E28" s="426"/>
      <c r="F28" s="426"/>
      <c r="G28" s="426"/>
      <c r="H28" s="426"/>
      <c r="I28" s="426"/>
      <c r="J28" s="426"/>
      <c r="K28" s="426"/>
    </row>
    <row r="29" spans="1:43" ht="15">
      <c r="A29" s="606"/>
      <c r="B29" s="606"/>
      <c r="C29" s="606"/>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row>
    <row r="30" spans="1:43" ht="42.75" customHeight="1">
      <c r="A30" s="1308" t="s">
        <v>556</v>
      </c>
      <c r="B30" s="1308"/>
      <c r="C30" s="531" t="s">
        <v>109</v>
      </c>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row>
    <row r="31" spans="1:43" ht="22.5" customHeight="1">
      <c r="A31" s="1305"/>
      <c r="B31" s="1305"/>
      <c r="C31" s="404"/>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row>
    <row r="32" spans="1:43" ht="25.5" customHeight="1">
      <c r="A32" s="1305"/>
      <c r="B32" s="1305"/>
      <c r="C32" s="404"/>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row>
    <row r="33" spans="1:43" ht="32.25" customHeight="1">
      <c r="A33" s="1306" t="s">
        <v>558</v>
      </c>
      <c r="B33" s="1306"/>
      <c r="C33" s="403">
        <f>SUM(C31:C32)</f>
        <v>0</v>
      </c>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row>
    <row r="34" spans="1:43" ht="15">
      <c r="A34" s="526"/>
      <c r="B34" s="526"/>
      <c r="C34" s="526"/>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row>
    <row r="35" spans="1:3" ht="16.5">
      <c r="A35" s="378"/>
      <c r="B35" s="378"/>
      <c r="C35" s="378"/>
    </row>
    <row r="36" spans="1:3" ht="16.5">
      <c r="A36" s="378"/>
      <c r="B36" s="378"/>
      <c r="C36" s="378"/>
    </row>
    <row r="37" spans="1:3" ht="16.5">
      <c r="A37" s="378"/>
      <c r="B37" s="378"/>
      <c r="C37" s="378"/>
    </row>
    <row r="38" spans="1:3" ht="16.5">
      <c r="A38" s="378"/>
      <c r="B38" s="378"/>
      <c r="C38" s="378"/>
    </row>
    <row r="39" spans="1:3" ht="16.5">
      <c r="A39" s="378"/>
      <c r="B39" s="378"/>
      <c r="C39" s="378"/>
    </row>
    <row r="40" spans="1:3" ht="16.5">
      <c r="A40" s="378"/>
      <c r="B40" s="378"/>
      <c r="C40" s="378"/>
    </row>
  </sheetData>
  <sheetProtection/>
  <mergeCells count="27">
    <mergeCell ref="A2:C2"/>
    <mergeCell ref="A3:C3"/>
    <mergeCell ref="A4:C4"/>
    <mergeCell ref="A15:B15"/>
    <mergeCell ref="A8:B8"/>
    <mergeCell ref="A6:B6"/>
    <mergeCell ref="A10:B10"/>
    <mergeCell ref="A12:C13"/>
    <mergeCell ref="A9:B9"/>
    <mergeCell ref="A7:B7"/>
    <mergeCell ref="A16:B16"/>
    <mergeCell ref="A24:B24"/>
    <mergeCell ref="A11:B11"/>
    <mergeCell ref="A18:B18"/>
    <mergeCell ref="A19:B19"/>
    <mergeCell ref="A17:B17"/>
    <mergeCell ref="A20:B20"/>
    <mergeCell ref="A21:B21"/>
    <mergeCell ref="A22:B22"/>
    <mergeCell ref="A23:B23"/>
    <mergeCell ref="A25:B25"/>
    <mergeCell ref="A31:B31"/>
    <mergeCell ref="A32:B32"/>
    <mergeCell ref="A33:B33"/>
    <mergeCell ref="A26:B26"/>
    <mergeCell ref="A27:C28"/>
    <mergeCell ref="A30:B30"/>
  </mergeCells>
  <printOptions horizontalCentered="1" verticalCentered="1"/>
  <pageMargins left="1.49" right="0.1968503937007874" top="0.984251968503937" bottom="0.984251968503937" header="0" footer="0"/>
  <pageSetup fitToHeight="1" fitToWidth="1" horizontalDpi="600" verticalDpi="600" orientation="portrait" scale="71" r:id="rId1"/>
</worksheet>
</file>

<file path=xl/worksheets/sheet3.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1319" t="s">
        <v>29</v>
      </c>
      <c r="B1" s="1319"/>
      <c r="C1" s="1319"/>
      <c r="D1" s="1319"/>
      <c r="E1" s="1319"/>
      <c r="F1" s="93"/>
    </row>
    <row r="2" spans="1:6" ht="15">
      <c r="A2" s="1319" t="s">
        <v>62</v>
      </c>
      <c r="B2" s="1319"/>
      <c r="C2" s="1319"/>
      <c r="D2" s="1319"/>
      <c r="E2" s="1319"/>
      <c r="F2" s="93"/>
    </row>
    <row r="3" spans="1:256" ht="15">
      <c r="A3" s="1318" t="s">
        <v>63</v>
      </c>
      <c r="B3" s="1318"/>
      <c r="C3" s="1318"/>
      <c r="D3" s="1318"/>
      <c r="E3" s="1318"/>
      <c r="F3" s="93"/>
      <c r="G3" s="1318"/>
      <c r="H3" s="1318"/>
      <c r="I3" s="1318"/>
      <c r="J3" s="1318"/>
      <c r="K3" s="1318"/>
      <c r="L3" s="184"/>
      <c r="M3" s="1318"/>
      <c r="N3" s="1318"/>
      <c r="O3" s="1318"/>
      <c r="P3" s="1318"/>
      <c r="Q3" s="1318"/>
      <c r="R3" s="184"/>
      <c r="S3" s="1318"/>
      <c r="T3" s="1318"/>
      <c r="U3" s="1318"/>
      <c r="V3" s="1318"/>
      <c r="W3" s="1318"/>
      <c r="X3" s="184"/>
      <c r="Y3" s="1318"/>
      <c r="Z3" s="1318"/>
      <c r="AA3" s="1318"/>
      <c r="AB3" s="1318"/>
      <c r="AC3" s="1318"/>
      <c r="AD3" s="184"/>
      <c r="AE3" s="1318"/>
      <c r="AF3" s="1318"/>
      <c r="AG3" s="1318"/>
      <c r="AH3" s="1318"/>
      <c r="AI3" s="1318"/>
      <c r="AJ3" s="184"/>
      <c r="AK3" s="1318"/>
      <c r="AL3" s="1318"/>
      <c r="AM3" s="1318"/>
      <c r="AN3" s="1318"/>
      <c r="AO3" s="1318"/>
      <c r="AP3" s="184"/>
      <c r="AQ3" s="1318"/>
      <c r="AR3" s="1318"/>
      <c r="AS3" s="1318"/>
      <c r="AT3" s="1318"/>
      <c r="AU3" s="1318"/>
      <c r="AV3" s="184"/>
      <c r="AW3" s="1318"/>
      <c r="AX3" s="1318"/>
      <c r="AY3" s="1318"/>
      <c r="AZ3" s="1318"/>
      <c r="BA3" s="1318"/>
      <c r="BB3" s="184"/>
      <c r="BC3" s="1318"/>
      <c r="BD3" s="1318"/>
      <c r="BE3" s="1318"/>
      <c r="BF3" s="1318"/>
      <c r="BG3" s="1318"/>
      <c r="BH3" s="184"/>
      <c r="BI3" s="1318"/>
      <c r="BJ3" s="1318"/>
      <c r="BK3" s="1318"/>
      <c r="BL3" s="1318"/>
      <c r="BM3" s="1318"/>
      <c r="BN3" s="184"/>
      <c r="BO3" s="1318"/>
      <c r="BP3" s="1318"/>
      <c r="BQ3" s="1318"/>
      <c r="BR3" s="1318"/>
      <c r="BS3" s="1318"/>
      <c r="BT3" s="184"/>
      <c r="BU3" s="1318"/>
      <c r="BV3" s="1318"/>
      <c r="BW3" s="1318"/>
      <c r="BX3" s="1318"/>
      <c r="BY3" s="1318"/>
      <c r="BZ3" s="184"/>
      <c r="CA3" s="1318"/>
      <c r="CB3" s="1318"/>
      <c r="CC3" s="1318"/>
      <c r="CD3" s="1318"/>
      <c r="CE3" s="1318"/>
      <c r="CF3" s="184"/>
      <c r="CG3" s="1318"/>
      <c r="CH3" s="1318"/>
      <c r="CI3" s="1318"/>
      <c r="CJ3" s="1318"/>
      <c r="CK3" s="1318"/>
      <c r="CL3" s="184"/>
      <c r="CM3" s="1318"/>
      <c r="CN3" s="1318"/>
      <c r="CO3" s="1318"/>
      <c r="CP3" s="1318"/>
      <c r="CQ3" s="1318"/>
      <c r="CR3" s="184"/>
      <c r="CS3" s="1318"/>
      <c r="CT3" s="1318"/>
      <c r="CU3" s="1318"/>
      <c r="CV3" s="1318"/>
      <c r="CW3" s="1318"/>
      <c r="CX3" s="184"/>
      <c r="CY3" s="1318"/>
      <c r="CZ3" s="1318"/>
      <c r="DA3" s="1318"/>
      <c r="DB3" s="1318"/>
      <c r="DC3" s="1318"/>
      <c r="DD3" s="184"/>
      <c r="DE3" s="1318"/>
      <c r="DF3" s="1318"/>
      <c r="DG3" s="1318"/>
      <c r="DH3" s="1318"/>
      <c r="DI3" s="1318"/>
      <c r="DJ3" s="184"/>
      <c r="DK3" s="1318"/>
      <c r="DL3" s="1318"/>
      <c r="DM3" s="1318"/>
      <c r="DN3" s="1318"/>
      <c r="DO3" s="1318"/>
      <c r="DP3" s="184"/>
      <c r="DQ3" s="1318"/>
      <c r="DR3" s="1318"/>
      <c r="DS3" s="1318"/>
      <c r="DT3" s="1318"/>
      <c r="DU3" s="1318"/>
      <c r="DV3" s="184"/>
      <c r="DW3" s="1318"/>
      <c r="DX3" s="1318"/>
      <c r="DY3" s="1318"/>
      <c r="DZ3" s="1318"/>
      <c r="EA3" s="1318"/>
      <c r="EB3" s="184"/>
      <c r="EC3" s="1318"/>
      <c r="ED3" s="1318"/>
      <c r="EE3" s="1318"/>
      <c r="EF3" s="1318"/>
      <c r="EG3" s="1318"/>
      <c r="EH3" s="184"/>
      <c r="EI3" s="1318"/>
      <c r="EJ3" s="1318"/>
      <c r="EK3" s="1318"/>
      <c r="EL3" s="1318"/>
      <c r="EM3" s="1318"/>
      <c r="EN3" s="184"/>
      <c r="EO3" s="1318"/>
      <c r="EP3" s="1318"/>
      <c r="EQ3" s="1318"/>
      <c r="ER3" s="1318"/>
      <c r="ES3" s="1318"/>
      <c r="ET3" s="184"/>
      <c r="EU3" s="1318"/>
      <c r="EV3" s="1318"/>
      <c r="EW3" s="1318"/>
      <c r="EX3" s="1318"/>
      <c r="EY3" s="1318"/>
      <c r="EZ3" s="184"/>
      <c r="FA3" s="1318"/>
      <c r="FB3" s="1318"/>
      <c r="FC3" s="1318"/>
      <c r="FD3" s="1318"/>
      <c r="FE3" s="1318"/>
      <c r="FF3" s="184"/>
      <c r="FG3" s="1318"/>
      <c r="FH3" s="1318"/>
      <c r="FI3" s="1318"/>
      <c r="FJ3" s="1318"/>
      <c r="FK3" s="1318"/>
      <c r="FL3" s="184"/>
      <c r="FM3" s="1318"/>
      <c r="FN3" s="1318"/>
      <c r="FO3" s="1318"/>
      <c r="FP3" s="1318"/>
      <c r="FQ3" s="1318"/>
      <c r="FR3" s="184"/>
      <c r="FS3" s="1318"/>
      <c r="FT3" s="1318"/>
      <c r="FU3" s="1318"/>
      <c r="FV3" s="1318"/>
      <c r="FW3" s="1318"/>
      <c r="FX3" s="184"/>
      <c r="FY3" s="1318"/>
      <c r="FZ3" s="1318"/>
      <c r="GA3" s="1318"/>
      <c r="GB3" s="1318"/>
      <c r="GC3" s="1318"/>
      <c r="GD3" s="184"/>
      <c r="GE3" s="1318"/>
      <c r="GF3" s="1318"/>
      <c r="GG3" s="1318"/>
      <c r="GH3" s="1318"/>
      <c r="GI3" s="1318"/>
      <c r="GJ3" s="184"/>
      <c r="GK3" s="1318"/>
      <c r="GL3" s="1318"/>
      <c r="GM3" s="1318"/>
      <c r="GN3" s="1318"/>
      <c r="GO3" s="1318"/>
      <c r="GP3" s="184"/>
      <c r="GQ3" s="1318"/>
      <c r="GR3" s="1318"/>
      <c r="GS3" s="1318"/>
      <c r="GT3" s="1318"/>
      <c r="GU3" s="1318"/>
      <c r="GV3" s="184"/>
      <c r="GW3" s="1318"/>
      <c r="GX3" s="1318"/>
      <c r="GY3" s="1318"/>
      <c r="GZ3" s="1318"/>
      <c r="HA3" s="1318"/>
      <c r="HB3" s="184"/>
      <c r="HC3" s="1318"/>
      <c r="HD3" s="1318"/>
      <c r="HE3" s="1318"/>
      <c r="HF3" s="1318"/>
      <c r="HG3" s="1318"/>
      <c r="HH3" s="184"/>
      <c r="HI3" s="1318"/>
      <c r="HJ3" s="1318"/>
      <c r="HK3" s="1318"/>
      <c r="HL3" s="1318"/>
      <c r="HM3" s="1318"/>
      <c r="HN3" s="184"/>
      <c r="HO3" s="1318"/>
      <c r="HP3" s="1318"/>
      <c r="HQ3" s="1318"/>
      <c r="HR3" s="1318"/>
      <c r="HS3" s="1318"/>
      <c r="HT3" s="184"/>
      <c r="HU3" s="1318"/>
      <c r="HV3" s="1318"/>
      <c r="HW3" s="1318"/>
      <c r="HX3" s="1318"/>
      <c r="HY3" s="1318"/>
      <c r="HZ3" s="184"/>
      <c r="IA3" s="1318"/>
      <c r="IB3" s="1318"/>
      <c r="IC3" s="1318"/>
      <c r="ID3" s="1318"/>
      <c r="IE3" s="1318"/>
      <c r="IF3" s="184"/>
      <c r="IG3" s="1318"/>
      <c r="IH3" s="1318"/>
      <c r="II3" s="1318"/>
      <c r="IJ3" s="1318"/>
      <c r="IK3" s="1318"/>
      <c r="IL3" s="184"/>
      <c r="IM3" s="1318"/>
      <c r="IN3" s="1318"/>
      <c r="IO3" s="1318"/>
      <c r="IP3" s="1318"/>
      <c r="IQ3" s="1318"/>
      <c r="IR3" s="184"/>
      <c r="IS3" s="1318"/>
      <c r="IT3" s="1318"/>
      <c r="IU3" s="1318"/>
      <c r="IV3" s="1318"/>
    </row>
    <row r="4" spans="1:6" s="2" customFormat="1" ht="15.75" thickBot="1">
      <c r="A4" s="1320"/>
      <c r="B4" s="1320"/>
      <c r="C4" s="1320"/>
      <c r="D4" s="1320"/>
      <c r="E4" s="1320"/>
      <c r="F4" s="229"/>
    </row>
    <row r="5" spans="1:7" ht="50.25" customHeight="1" thickTop="1">
      <c r="A5" s="230" t="s">
        <v>40</v>
      </c>
      <c r="B5" s="239" t="s">
        <v>345</v>
      </c>
      <c r="C5" s="240" t="s">
        <v>346</v>
      </c>
      <c r="D5" s="231" t="s">
        <v>64</v>
      </c>
      <c r="E5" s="231" t="s">
        <v>36</v>
      </c>
      <c r="F5" s="231" t="s">
        <v>50</v>
      </c>
      <c r="G5" s="1"/>
    </row>
    <row r="6" spans="1:7" ht="12.75">
      <c r="A6" s="185"/>
      <c r="B6" s="31"/>
      <c r="C6" s="32"/>
      <c r="D6" s="32"/>
      <c r="E6" s="32"/>
      <c r="F6" s="33"/>
      <c r="G6" s="1"/>
    </row>
    <row r="7" spans="1:7" ht="14.25">
      <c r="A7" s="5" t="s">
        <v>30</v>
      </c>
      <c r="B7" s="5"/>
      <c r="C7" s="6" t="e">
        <f>+C8</f>
        <v>#REF!</v>
      </c>
      <c r="D7" s="6"/>
      <c r="E7" s="6" t="e">
        <f>+E8</f>
        <v>#REF!</v>
      </c>
      <c r="F7" s="7" t="e">
        <f>+E7/E62*100</f>
        <v>#REF!</v>
      </c>
      <c r="G7" s="1"/>
    </row>
    <row r="8" spans="1:7" ht="15">
      <c r="A8" s="8" t="s">
        <v>31</v>
      </c>
      <c r="B8" s="8"/>
      <c r="C8" s="9" t="e">
        <f>+HONTOTAL</f>
        <v>#REF!</v>
      </c>
      <c r="D8" s="9"/>
      <c r="E8" s="9" t="e">
        <f>+C8</f>
        <v>#REF!</v>
      </c>
      <c r="F8" s="10"/>
      <c r="G8" s="1"/>
    </row>
    <row r="9" spans="1:7" ht="15">
      <c r="A9" s="8"/>
      <c r="B9" s="8"/>
      <c r="C9" s="9"/>
      <c r="D9" s="11"/>
      <c r="E9" s="6"/>
      <c r="F9" s="12"/>
      <c r="G9" s="1"/>
    </row>
    <row r="10" spans="1:7" ht="15">
      <c r="A10" s="5" t="s">
        <v>32</v>
      </c>
      <c r="B10" s="5"/>
      <c r="C10" s="11"/>
      <c r="D10" s="11"/>
      <c r="E10" s="6" t="e">
        <f>SUM(E11:E24)</f>
        <v>#REF!</v>
      </c>
      <c r="F10" s="7" t="e">
        <f>+E10/E62*100</f>
        <v>#REF!</v>
      </c>
      <c r="G10" s="1"/>
    </row>
    <row r="11" spans="1:7" ht="15">
      <c r="A11" s="13" t="s">
        <v>52</v>
      </c>
      <c r="B11" s="8">
        <v>22930268</v>
      </c>
      <c r="C11" s="9" t="e">
        <f>+#REF!</f>
        <v>#REF!</v>
      </c>
      <c r="D11" s="14" t="e">
        <f>(C11-B11)/C11</f>
        <v>#REF!</v>
      </c>
      <c r="E11" s="9" t="e">
        <f>+SUM(C11:C11)</f>
        <v>#REF!</v>
      </c>
      <c r="F11" s="10" t="e">
        <f>(+E11/E62)*100</f>
        <v>#REF!</v>
      </c>
      <c r="G11" s="1"/>
    </row>
    <row r="12" spans="1:7" ht="15">
      <c r="A12" s="13" t="s">
        <v>53</v>
      </c>
      <c r="B12" s="8">
        <v>5600000</v>
      </c>
      <c r="C12" s="9" t="e">
        <f>+#REF!</f>
        <v>#REF!</v>
      </c>
      <c r="D12" s="14" t="e">
        <f aca="true" t="shared" si="0" ref="D12:D25">(C12-B12)/C12</f>
        <v>#REF!</v>
      </c>
      <c r="E12" s="9" t="e">
        <f>+SUM(C12:C12)</f>
        <v>#REF!</v>
      </c>
      <c r="F12" s="10" t="e">
        <f>+E12/E62*100</f>
        <v>#REF!</v>
      </c>
      <c r="G12" s="1"/>
    </row>
    <row r="13" spans="1:7" ht="15">
      <c r="A13" s="13" t="s">
        <v>54</v>
      </c>
      <c r="B13" s="8">
        <v>13482000</v>
      </c>
      <c r="C13" s="9" t="e">
        <f>+#REF!</f>
        <v>#REF!</v>
      </c>
      <c r="D13" s="302" t="e">
        <f t="shared" si="0"/>
        <v>#REF!</v>
      </c>
      <c r="E13" s="9" t="e">
        <f>+SUM(C13:C13)</f>
        <v>#REF!</v>
      </c>
      <c r="F13" s="10" t="e">
        <f>+E13/E62*100</f>
        <v>#REF!</v>
      </c>
      <c r="G13" s="1"/>
    </row>
    <row r="14" spans="1:7" ht="15">
      <c r="A14" s="13" t="s">
        <v>33</v>
      </c>
      <c r="B14" s="8">
        <v>14927652</v>
      </c>
      <c r="C14" s="9" t="e">
        <f>+#REF!</f>
        <v>#REF!</v>
      </c>
      <c r="D14" s="302" t="e">
        <f t="shared" si="0"/>
        <v>#REF!</v>
      </c>
      <c r="E14" s="9" t="e">
        <f>+#REF!</f>
        <v>#REF!</v>
      </c>
      <c r="F14" s="10" t="e">
        <f>+E14/E62*100</f>
        <v>#REF!</v>
      </c>
      <c r="G14" s="1"/>
    </row>
    <row r="15" spans="1:7" ht="15">
      <c r="A15" s="13" t="s">
        <v>55</v>
      </c>
      <c r="B15" s="8">
        <v>37500000</v>
      </c>
      <c r="C15" s="9" t="e">
        <f>+#REF!</f>
        <v>#REF!</v>
      </c>
      <c r="D15" s="302" t="e">
        <f t="shared" si="0"/>
        <v>#REF!</v>
      </c>
      <c r="E15" s="9" t="e">
        <f aca="true" t="shared" si="1" ref="E15:E24">+SUM(C15:C15)</f>
        <v>#REF!</v>
      </c>
      <c r="F15" s="10" t="e">
        <f>+E15/E62*100</f>
        <v>#REF!</v>
      </c>
      <c r="G15" s="1"/>
    </row>
    <row r="16" spans="1:7" ht="15">
      <c r="A16" s="13" t="s">
        <v>34</v>
      </c>
      <c r="B16" s="8">
        <v>24826333</v>
      </c>
      <c r="C16" s="9" t="e">
        <f>+#REF!</f>
        <v>#REF!</v>
      </c>
      <c r="D16" s="302" t="e">
        <f t="shared" si="0"/>
        <v>#REF!</v>
      </c>
      <c r="E16" s="9" t="e">
        <f t="shared" si="1"/>
        <v>#REF!</v>
      </c>
      <c r="F16" s="10" t="e">
        <f>+E16/E62*100</f>
        <v>#REF!</v>
      </c>
      <c r="G16" s="1"/>
    </row>
    <row r="17" spans="1:7" ht="15">
      <c r="A17" s="13" t="s">
        <v>56</v>
      </c>
      <c r="B17" s="8">
        <v>10566333</v>
      </c>
      <c r="C17" s="9" t="e">
        <f>+#REF!</f>
        <v>#REF!</v>
      </c>
      <c r="D17" s="302" t="e">
        <f t="shared" si="0"/>
        <v>#REF!</v>
      </c>
      <c r="E17" s="9" t="e">
        <f t="shared" si="1"/>
        <v>#REF!</v>
      </c>
      <c r="F17" s="10" t="e">
        <f>+E17/E62*100</f>
        <v>#REF!</v>
      </c>
      <c r="G17" s="1"/>
    </row>
    <row r="18" spans="1:7" ht="15">
      <c r="A18" s="13" t="s">
        <v>297</v>
      </c>
      <c r="B18" s="8">
        <v>19639000</v>
      </c>
      <c r="C18" s="9" t="e">
        <f>+#REF!</f>
        <v>#REF!</v>
      </c>
      <c r="D18" s="302" t="e">
        <f t="shared" si="0"/>
        <v>#REF!</v>
      </c>
      <c r="E18" s="9" t="e">
        <f t="shared" si="1"/>
        <v>#REF!</v>
      </c>
      <c r="F18" s="10" t="e">
        <f>+E18/E62*100</f>
        <v>#REF!</v>
      </c>
      <c r="G18" s="1"/>
    </row>
    <row r="19" spans="1:7" ht="15">
      <c r="A19" s="13" t="s">
        <v>35</v>
      </c>
      <c r="B19" s="8">
        <v>42000000</v>
      </c>
      <c r="C19" s="9" t="e">
        <f>+#REF!</f>
        <v>#REF!</v>
      </c>
      <c r="D19" s="302" t="e">
        <f t="shared" si="0"/>
        <v>#REF!</v>
      </c>
      <c r="E19" s="9" t="e">
        <f t="shared" si="1"/>
        <v>#REF!</v>
      </c>
      <c r="F19" s="10" t="e">
        <f>+E19/E62*100</f>
        <v>#REF!</v>
      </c>
      <c r="G19" s="1"/>
    </row>
    <row r="20" spans="1:7" ht="15">
      <c r="A20" s="13" t="s">
        <v>51</v>
      </c>
      <c r="B20" s="8">
        <v>2572500</v>
      </c>
      <c r="C20" s="9" t="e">
        <f>+#REF!</f>
        <v>#REF!</v>
      </c>
      <c r="D20" s="302" t="e">
        <f t="shared" si="0"/>
        <v>#REF!</v>
      </c>
      <c r="E20" s="9" t="e">
        <f t="shared" si="1"/>
        <v>#REF!</v>
      </c>
      <c r="F20" s="10" t="e">
        <f>+E20/E62*100</f>
        <v>#REF!</v>
      </c>
      <c r="G20" s="1"/>
    </row>
    <row r="21" spans="1:7" ht="15">
      <c r="A21" s="13" t="s">
        <v>57</v>
      </c>
      <c r="B21" s="8">
        <v>26582000</v>
      </c>
      <c r="C21" s="9" t="e">
        <f>+#REF!</f>
        <v>#REF!</v>
      </c>
      <c r="D21" s="302" t="e">
        <f t="shared" si="0"/>
        <v>#REF!</v>
      </c>
      <c r="E21" s="9" t="e">
        <f t="shared" si="1"/>
        <v>#REF!</v>
      </c>
      <c r="F21" s="10" t="e">
        <f>+E21/E62*100</f>
        <v>#REF!</v>
      </c>
      <c r="G21" s="1"/>
    </row>
    <row r="22" spans="1:7" ht="15">
      <c r="A22" s="13" t="s">
        <v>58</v>
      </c>
      <c r="B22" s="8">
        <v>6479251</v>
      </c>
      <c r="C22" s="9" t="e">
        <f>+#REF!</f>
        <v>#REF!</v>
      </c>
      <c r="D22" s="302" t="e">
        <f t="shared" si="0"/>
        <v>#REF!</v>
      </c>
      <c r="E22" s="9" t="e">
        <f t="shared" si="1"/>
        <v>#REF!</v>
      </c>
      <c r="F22" s="10" t="e">
        <f>+E22/E62*100</f>
        <v>#REF!</v>
      </c>
      <c r="G22" s="1"/>
    </row>
    <row r="23" spans="1:7" ht="15">
      <c r="A23" s="13" t="s">
        <v>59</v>
      </c>
      <c r="B23" s="8">
        <v>42800000</v>
      </c>
      <c r="C23" s="9" t="e">
        <f>+#REF!</f>
        <v>#REF!</v>
      </c>
      <c r="D23" s="302" t="e">
        <f t="shared" si="0"/>
        <v>#REF!</v>
      </c>
      <c r="E23" s="9" t="e">
        <f t="shared" si="1"/>
        <v>#REF!</v>
      </c>
      <c r="F23" s="10" t="e">
        <f>+E23/E62*100</f>
        <v>#REF!</v>
      </c>
      <c r="G23" s="1"/>
    </row>
    <row r="24" spans="1:7" ht="15">
      <c r="A24" s="13" t="s">
        <v>60</v>
      </c>
      <c r="B24" s="8">
        <v>11500000</v>
      </c>
      <c r="C24" s="9" t="e">
        <f>+#REF!</f>
        <v>#REF!</v>
      </c>
      <c r="D24" s="302" t="e">
        <f t="shared" si="0"/>
        <v>#REF!</v>
      </c>
      <c r="E24" s="9" t="e">
        <f t="shared" si="1"/>
        <v>#REF!</v>
      </c>
      <c r="F24" s="10" t="e">
        <f>+E24/E62*100</f>
        <v>#REF!</v>
      </c>
      <c r="G24" s="1"/>
    </row>
    <row r="25" spans="1:7" ht="14.25">
      <c r="A25" s="15" t="s">
        <v>39</v>
      </c>
      <c r="B25" s="16">
        <f>SUM(B11:B24)</f>
        <v>281405337</v>
      </c>
      <c r="C25" s="16" t="e">
        <f>SUM(C11:C24)</f>
        <v>#REF!</v>
      </c>
      <c r="D25" s="303" t="e">
        <f t="shared" si="0"/>
        <v>#REF!</v>
      </c>
      <c r="E25" s="16" t="e">
        <f>+E10+E7</f>
        <v>#REF!</v>
      </c>
      <c r="F25" s="17" t="e">
        <f>+F10+F7</f>
        <v>#REF!</v>
      </c>
      <c r="G25" s="1"/>
    </row>
    <row r="26" spans="1:7" ht="15">
      <c r="A26" s="11"/>
      <c r="B26" s="9"/>
      <c r="C26" s="11"/>
      <c r="D26" s="13"/>
      <c r="E26" s="11"/>
      <c r="F26" s="12"/>
      <c r="G26" s="1"/>
    </row>
    <row r="27" spans="1:7" ht="14.25">
      <c r="A27" s="15" t="s">
        <v>42</v>
      </c>
      <c r="B27" s="16"/>
      <c r="C27" s="15"/>
      <c r="D27" s="15"/>
      <c r="E27" s="16">
        <f>SUM(E29:E54)</f>
        <v>6362031836</v>
      </c>
      <c r="F27" s="17" t="e">
        <f>SUM(F29:F54)</f>
        <v>#REF!</v>
      </c>
      <c r="G27" s="1"/>
    </row>
    <row r="28" spans="1:7" ht="15">
      <c r="A28" s="11"/>
      <c r="B28" s="9"/>
      <c r="C28" s="11"/>
      <c r="D28" s="11"/>
      <c r="E28" s="9"/>
      <c r="F28" s="12"/>
      <c r="G28" s="1"/>
    </row>
    <row r="29" spans="1:7" ht="15">
      <c r="A29" s="26" t="s">
        <v>61</v>
      </c>
      <c r="B29" s="5"/>
      <c r="C29" s="18">
        <f>+'Inversión total en programas'!B29</f>
        <v>145800000</v>
      </c>
      <c r="D29" s="18"/>
      <c r="E29" s="6">
        <f>+C29</f>
        <v>145800000</v>
      </c>
      <c r="F29" s="10" t="e">
        <f>+E29/E62*100</f>
        <v>#REF!</v>
      </c>
      <c r="G29" s="1"/>
    </row>
    <row r="30" spans="1:7" ht="15">
      <c r="A30" s="25" t="s">
        <v>65</v>
      </c>
      <c r="B30" s="27"/>
      <c r="C30" s="18">
        <f>+'Inversión total en programas'!B36</f>
        <v>3826475436</v>
      </c>
      <c r="D30" s="18"/>
      <c r="E30" s="6">
        <f>+C30</f>
        <v>3826475436</v>
      </c>
      <c r="F30" s="10" t="e">
        <f>+E30/E62*100</f>
        <v>#REF!</v>
      </c>
      <c r="G30" s="1"/>
    </row>
    <row r="31" spans="1:7" ht="15">
      <c r="A31" s="26" t="s">
        <v>43</v>
      </c>
      <c r="B31" s="5"/>
      <c r="C31" s="11"/>
      <c r="D31" s="11"/>
      <c r="E31" s="6">
        <f>SUM(C32:C35)</f>
        <v>412000000</v>
      </c>
      <c r="F31" s="19" t="e">
        <f>+E31/E62*100</f>
        <v>#REF!</v>
      </c>
      <c r="G31" s="1"/>
    </row>
    <row r="32" spans="1:7" ht="13.5" customHeight="1">
      <c r="A32" s="28" t="s">
        <v>84</v>
      </c>
      <c r="B32" s="8"/>
      <c r="C32" s="18">
        <f>+'Inversión total en programas'!B47</f>
        <v>50000000</v>
      </c>
      <c r="D32" s="18"/>
      <c r="E32" s="6"/>
      <c r="F32" s="12"/>
      <c r="G32" s="1"/>
    </row>
    <row r="33" spans="1:7" ht="15">
      <c r="A33" s="28" t="s">
        <v>294</v>
      </c>
      <c r="B33" s="8"/>
      <c r="C33" s="18">
        <f>+'Inversión total en programas'!B48</f>
        <v>86000000</v>
      </c>
      <c r="D33" s="18"/>
      <c r="E33" s="6"/>
      <c r="F33" s="12"/>
      <c r="G33" s="1"/>
    </row>
    <row r="34" spans="1:7" ht="15">
      <c r="A34" s="28" t="s">
        <v>293</v>
      </c>
      <c r="B34" s="8"/>
      <c r="C34" s="18">
        <f>+'Inversión total en programas'!B49</f>
        <v>236000000</v>
      </c>
      <c r="D34" s="18"/>
      <c r="E34" s="6"/>
      <c r="F34" s="12"/>
      <c r="G34" s="1"/>
    </row>
    <row r="35" spans="1:7" ht="15">
      <c r="A35" s="29" t="s">
        <v>86</v>
      </c>
      <c r="B35" s="30"/>
      <c r="C35" s="18">
        <v>40000000</v>
      </c>
      <c r="D35" s="18"/>
      <c r="E35" s="6"/>
      <c r="F35" s="12"/>
      <c r="G35" s="1"/>
    </row>
    <row r="36" spans="1:7" ht="15">
      <c r="A36" s="25" t="s">
        <v>347</v>
      </c>
      <c r="B36" s="27"/>
      <c r="C36" s="18"/>
      <c r="D36" s="18"/>
      <c r="E36" s="6">
        <f>SUM(C37:C40)</f>
        <v>769208400</v>
      </c>
      <c r="F36" s="10" t="e">
        <f>+E36/E62*100</f>
        <v>#REF!</v>
      </c>
      <c r="G36" s="1"/>
    </row>
    <row r="37" spans="1:7" ht="15">
      <c r="A37" s="29" t="s">
        <v>45</v>
      </c>
      <c r="B37" s="30"/>
      <c r="C37" s="18">
        <f>+'Inversión total en programas'!B56</f>
        <v>170000000</v>
      </c>
      <c r="D37" s="18"/>
      <c r="E37" s="9"/>
      <c r="F37" s="12"/>
      <c r="G37" s="1"/>
    </row>
    <row r="38" spans="1:7" ht="15">
      <c r="A38" s="29" t="s">
        <v>260</v>
      </c>
      <c r="B38" s="30"/>
      <c r="C38" s="18">
        <f>+'Inversión total en programas'!B57</f>
        <v>260000000</v>
      </c>
      <c r="D38" s="18"/>
      <c r="E38" s="9"/>
      <c r="F38" s="12"/>
      <c r="G38" s="1"/>
    </row>
    <row r="39" spans="1:7" ht="15">
      <c r="A39" s="29" t="s">
        <v>352</v>
      </c>
      <c r="B39" s="30"/>
      <c r="C39" s="18">
        <f>+'Inversión total en programas'!B58</f>
        <v>289208400</v>
      </c>
      <c r="D39" s="18"/>
      <c r="E39" s="9"/>
      <c r="F39" s="12"/>
      <c r="G39" s="1"/>
    </row>
    <row r="40" spans="1:7" ht="15">
      <c r="A40" s="29" t="s">
        <v>275</v>
      </c>
      <c r="B40" s="30"/>
      <c r="C40" s="18">
        <f>+'Inversión total en programas'!B59</f>
        <v>50000000</v>
      </c>
      <c r="D40" s="18"/>
      <c r="E40" s="9"/>
      <c r="F40" s="12"/>
      <c r="G40" s="1"/>
    </row>
    <row r="41" spans="1:7" ht="15">
      <c r="A41" s="25" t="s">
        <v>37</v>
      </c>
      <c r="B41" s="27"/>
      <c r="C41" s="18">
        <f>+'Inversión total en programas'!B66</f>
        <v>340000000</v>
      </c>
      <c r="D41" s="18"/>
      <c r="E41" s="6">
        <f>+C41</f>
        <v>340000000</v>
      </c>
      <c r="F41" s="10" t="e">
        <f>+E41/E62*100</f>
        <v>#REF!</v>
      </c>
      <c r="G41" s="1"/>
    </row>
    <row r="42" spans="1:7" ht="15">
      <c r="A42" s="25" t="s">
        <v>278</v>
      </c>
      <c r="B42" s="27"/>
      <c r="C42" s="18"/>
      <c r="D42" s="18"/>
      <c r="E42" s="6">
        <f>SUM(C43:C46)</f>
        <v>343548000</v>
      </c>
      <c r="F42" s="10" t="e">
        <f>+E42/E62*100</f>
        <v>#REF!</v>
      </c>
      <c r="G42" s="1"/>
    </row>
    <row r="43" spans="1:7" ht="15">
      <c r="A43" s="29" t="s">
        <v>281</v>
      </c>
      <c r="B43" s="30"/>
      <c r="C43" s="18">
        <v>129000000</v>
      </c>
      <c r="D43" s="18"/>
      <c r="E43" s="9"/>
      <c r="F43" s="12"/>
      <c r="G43" s="1"/>
    </row>
    <row r="44" spans="1:7" ht="15">
      <c r="A44" s="29" t="s">
        <v>295</v>
      </c>
      <c r="B44" s="30"/>
      <c r="C44" s="18">
        <f>+'Inversión total en programas'!B75</f>
        <v>74148000</v>
      </c>
      <c r="D44" s="18"/>
      <c r="E44" s="9"/>
      <c r="F44" s="12"/>
      <c r="G44" s="1"/>
    </row>
    <row r="45" spans="1:7" ht="15">
      <c r="A45" s="29" t="s">
        <v>68</v>
      </c>
      <c r="B45" s="30"/>
      <c r="C45" s="18">
        <f>+'Inversión total en programas'!B76</f>
        <v>130400000</v>
      </c>
      <c r="D45" s="18"/>
      <c r="E45" s="9"/>
      <c r="F45" s="12"/>
      <c r="G45" s="1"/>
    </row>
    <row r="46" spans="1:7" ht="15">
      <c r="A46" s="29" t="s">
        <v>279</v>
      </c>
      <c r="B46" s="30"/>
      <c r="C46" s="18">
        <f>+'Inversión total en programas'!B77</f>
        <v>10000000</v>
      </c>
      <c r="D46" s="18"/>
      <c r="E46" s="9"/>
      <c r="F46" s="12"/>
      <c r="G46" s="1"/>
    </row>
    <row r="47" spans="1:7" ht="15">
      <c r="A47" s="25" t="s">
        <v>38</v>
      </c>
      <c r="B47" s="27"/>
      <c r="C47" s="18"/>
      <c r="D47" s="18"/>
      <c r="E47" s="6">
        <f>SUM(C48:C52)</f>
        <v>452000000</v>
      </c>
      <c r="F47" s="10" t="e">
        <f>+E47/E62*100</f>
        <v>#REF!</v>
      </c>
      <c r="G47" s="1"/>
    </row>
    <row r="48" spans="1:7" ht="15">
      <c r="A48" s="29" t="s">
        <v>283</v>
      </c>
      <c r="B48" s="30"/>
      <c r="C48" s="18">
        <f>+'Inversión total en programas'!B83</f>
        <v>220000000</v>
      </c>
      <c r="D48" s="18"/>
      <c r="E48" s="9"/>
      <c r="F48" s="12"/>
      <c r="G48" s="1"/>
    </row>
    <row r="49" spans="1:7" ht="15">
      <c r="A49" s="29" t="s">
        <v>70</v>
      </c>
      <c r="B49" s="30"/>
      <c r="C49" s="18">
        <f>+'Inversión total en programas'!B84</f>
        <v>55000000</v>
      </c>
      <c r="D49" s="18"/>
      <c r="E49" s="9"/>
      <c r="F49" s="12"/>
      <c r="G49" s="1"/>
    </row>
    <row r="50" spans="1:7" ht="15">
      <c r="A50" s="29" t="s">
        <v>71</v>
      </c>
      <c r="B50" s="30"/>
      <c r="C50" s="18">
        <f>+'Inversión total en programas'!B85</f>
        <v>30000000</v>
      </c>
      <c r="D50" s="18"/>
      <c r="E50" s="9"/>
      <c r="F50" s="12"/>
      <c r="G50" s="1"/>
    </row>
    <row r="51" spans="1:7" ht="15">
      <c r="A51" s="29" t="s">
        <v>284</v>
      </c>
      <c r="B51" s="30"/>
      <c r="C51" s="18">
        <f>+'Inversión total en programas'!B86</f>
        <v>117000000</v>
      </c>
      <c r="D51" s="18"/>
      <c r="E51" s="9"/>
      <c r="F51" s="12"/>
      <c r="G51" s="1"/>
    </row>
    <row r="52" spans="1:7" ht="15">
      <c r="A52" s="374" t="s">
        <v>289</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288</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263</v>
      </c>
      <c r="B56" s="27"/>
      <c r="C56" s="18">
        <f>+'Inversión total en programas'!B99</f>
        <v>916081953.1505461</v>
      </c>
      <c r="D56" s="18"/>
      <c r="E56" s="6">
        <v>445280000</v>
      </c>
      <c r="F56" s="10" t="e">
        <f>+E56/E62*100</f>
        <v>#REF!</v>
      </c>
      <c r="G56" s="1"/>
    </row>
    <row r="57" spans="1:7" ht="15">
      <c r="A57" s="25"/>
      <c r="B57" s="27"/>
      <c r="C57" s="18"/>
      <c r="D57" s="18"/>
      <c r="E57" s="6"/>
      <c r="F57" s="7"/>
      <c r="G57" s="1"/>
    </row>
    <row r="58" spans="1:7" ht="15">
      <c r="A58" s="233" t="s">
        <v>343</v>
      </c>
      <c r="B58" s="27"/>
      <c r="C58" s="18"/>
      <c r="D58" s="18"/>
      <c r="E58" s="6" t="e">
        <f>+#REF!</f>
        <v>#REF!</v>
      </c>
      <c r="F58" s="7"/>
      <c r="G58" s="1"/>
    </row>
    <row r="59" spans="1:7" ht="15">
      <c r="A59" s="227" t="s">
        <v>328</v>
      </c>
      <c r="B59" s="27"/>
      <c r="C59" s="18" t="e">
        <f>+#REF!</f>
        <v>#REF!</v>
      </c>
      <c r="D59" s="18"/>
      <c r="E59" s="6"/>
      <c r="F59" s="7"/>
      <c r="G59" s="1"/>
    </row>
    <row r="60" spans="1:7" ht="15">
      <c r="A60" s="228" t="s">
        <v>319</v>
      </c>
      <c r="B60" s="27"/>
      <c r="C60" s="18" t="e">
        <f>+#REF!</f>
        <v>#REF!</v>
      </c>
      <c r="D60" s="18"/>
      <c r="E60" s="6"/>
      <c r="F60" s="7"/>
      <c r="G60" s="1"/>
    </row>
    <row r="61" spans="1:7" ht="15">
      <c r="A61" s="11"/>
      <c r="B61" s="9"/>
      <c r="C61" s="11"/>
      <c r="D61" s="11"/>
      <c r="E61" s="11"/>
      <c r="F61" s="12"/>
      <c r="G61" s="1"/>
    </row>
    <row r="62" spans="1:7" ht="15">
      <c r="A62" s="15" t="s">
        <v>49</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2"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BC3:BG3"/>
    <mergeCell ref="BI3:BM3"/>
    <mergeCell ref="CA3:CE3"/>
    <mergeCell ref="CG3:CK3"/>
    <mergeCell ref="BO3:BS3"/>
    <mergeCell ref="BU3:BY3"/>
    <mergeCell ref="AE3:AI3"/>
    <mergeCell ref="AK3:AO3"/>
    <mergeCell ref="AQ3:AU3"/>
    <mergeCell ref="AW3:BA3"/>
    <mergeCell ref="A4:E4"/>
    <mergeCell ref="A3:E3"/>
    <mergeCell ref="G3:K3"/>
    <mergeCell ref="M3:Q3"/>
    <mergeCell ref="EI3:EM3"/>
    <mergeCell ref="EO3:ES3"/>
    <mergeCell ref="CM3:CQ3"/>
    <mergeCell ref="CS3:CW3"/>
    <mergeCell ref="CY3:DC3"/>
    <mergeCell ref="DE3:DI3"/>
    <mergeCell ref="DK3:DO3"/>
    <mergeCell ref="DQ3:DU3"/>
    <mergeCell ref="A1:E1"/>
    <mergeCell ref="A2:E2"/>
    <mergeCell ref="S3:W3"/>
    <mergeCell ref="Y3:AC3"/>
    <mergeCell ref="FG3:FK3"/>
    <mergeCell ref="FM3:FQ3"/>
    <mergeCell ref="EU3:EY3"/>
    <mergeCell ref="FA3:FE3"/>
    <mergeCell ref="DW3:EA3"/>
    <mergeCell ref="EC3:EG3"/>
    <mergeCell ref="IM3:IQ3"/>
    <mergeCell ref="IS3:IV3"/>
    <mergeCell ref="HO3:HS3"/>
    <mergeCell ref="HU3:HY3"/>
    <mergeCell ref="IA3:IE3"/>
    <mergeCell ref="IG3:IK3"/>
    <mergeCell ref="HC3:HG3"/>
    <mergeCell ref="HI3:HM3"/>
    <mergeCell ref="GE3:GI3"/>
    <mergeCell ref="GK3:GO3"/>
    <mergeCell ref="FS3:FW3"/>
    <mergeCell ref="FY3:GC3"/>
    <mergeCell ref="GQ3:GU3"/>
    <mergeCell ref="GW3:HA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4.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9" customWidth="1"/>
    <col min="2" max="2" width="41.57421875" style="354" customWidth="1"/>
    <col min="3" max="3" width="14.00390625" style="354" customWidth="1"/>
    <col min="4" max="4" width="15.421875" style="354" customWidth="1"/>
    <col min="5" max="5" width="16.28125" style="354" customWidth="1"/>
    <col min="6" max="6" width="10.7109375" style="354" hidden="1" customWidth="1"/>
    <col min="7" max="7" width="15.00390625" style="307" customWidth="1"/>
    <col min="8" max="10" width="11.421875" style="308" customWidth="1"/>
    <col min="11" max="16384" width="11.421875" style="309" customWidth="1"/>
  </cols>
  <sheetData>
    <row r="1" spans="2:6" ht="12.75">
      <c r="B1" s="241" t="s">
        <v>66</v>
      </c>
      <c r="C1" s="242"/>
      <c r="D1" s="242"/>
      <c r="E1" s="242"/>
      <c r="F1" s="243"/>
    </row>
    <row r="2" spans="2:6" ht="12.75">
      <c r="B2" s="241" t="s">
        <v>354</v>
      </c>
      <c r="C2" s="242"/>
      <c r="D2" s="242"/>
      <c r="E2" s="242"/>
      <c r="F2" s="243"/>
    </row>
    <row r="3" spans="2:6" ht="12.75">
      <c r="B3" s="241" t="s">
        <v>355</v>
      </c>
      <c r="C3" s="242"/>
      <c r="D3" s="242"/>
      <c r="E3" s="242"/>
      <c r="F3" s="243"/>
    </row>
    <row r="4" spans="2:10" s="249" customFormat="1" ht="17.25" customHeight="1" thickBot="1">
      <c r="B4" s="244"/>
      <c r="C4" s="245"/>
      <c r="D4" s="245"/>
      <c r="E4" s="245"/>
      <c r="F4" s="246"/>
      <c r="G4" s="247"/>
      <c r="H4" s="248"/>
      <c r="I4" s="248"/>
      <c r="J4" s="248"/>
    </row>
    <row r="5" spans="2:7" ht="13.5" thickBot="1">
      <c r="B5" s="310"/>
      <c r="C5" s="304" t="s">
        <v>325</v>
      </c>
      <c r="D5" s="305"/>
      <c r="E5" s="306"/>
      <c r="F5" s="250"/>
      <c r="G5" s="359">
        <v>2004</v>
      </c>
    </row>
    <row r="6" spans="2:7" ht="12.75">
      <c r="B6" s="251" t="s">
        <v>40</v>
      </c>
      <c r="C6" s="252" t="s">
        <v>309</v>
      </c>
      <c r="D6" s="252" t="s">
        <v>310</v>
      </c>
      <c r="E6" s="252" t="s">
        <v>67</v>
      </c>
      <c r="F6" s="253" t="s">
        <v>264</v>
      </c>
      <c r="G6" s="357" t="s">
        <v>258</v>
      </c>
    </row>
    <row r="7" spans="2:7" ht="12.75">
      <c r="B7" s="251"/>
      <c r="C7" s="254" t="s">
        <v>303</v>
      </c>
      <c r="D7" s="254" t="s">
        <v>311</v>
      </c>
      <c r="E7" s="254" t="s">
        <v>325</v>
      </c>
      <c r="F7" s="255" t="s">
        <v>304</v>
      </c>
      <c r="G7" s="360" t="s">
        <v>257</v>
      </c>
    </row>
    <row r="8" spans="2:7" ht="13.5" thickBot="1">
      <c r="B8" s="256"/>
      <c r="C8" s="257"/>
      <c r="D8" s="257"/>
      <c r="E8" s="257"/>
      <c r="F8" s="256"/>
      <c r="G8" s="358"/>
    </row>
    <row r="9" spans="2:7" ht="12.75">
      <c r="B9" s="311" t="s">
        <v>30</v>
      </c>
      <c r="C9" s="312" t="e">
        <f>SUM(C10:C10)</f>
        <v>#REF!</v>
      </c>
      <c r="D9" s="312"/>
      <c r="E9" s="312" t="e">
        <f>SUM(E10:E10)</f>
        <v>#REF!</v>
      </c>
      <c r="F9" s="313" t="e">
        <f>+E9/E113</f>
        <v>#REF!</v>
      </c>
      <c r="G9" s="361"/>
    </row>
    <row r="10" spans="2:7" ht="12.75">
      <c r="B10" s="315" t="s">
        <v>73</v>
      </c>
      <c r="C10" s="316" t="e">
        <f>+'Inversión total en programas'!B7</f>
        <v>#REF!</v>
      </c>
      <c r="D10" s="316"/>
      <c r="E10" s="316" t="e">
        <f>SUM(C10:D10)</f>
        <v>#REF!</v>
      </c>
      <c r="F10" s="317" t="e">
        <f>+E10/E113</f>
        <v>#REF!</v>
      </c>
      <c r="G10" s="362"/>
    </row>
    <row r="11" spans="2:7" ht="12.75">
      <c r="B11" s="315"/>
      <c r="C11" s="316"/>
      <c r="D11" s="316"/>
      <c r="E11" s="316"/>
      <c r="F11" s="318"/>
      <c r="G11" s="356"/>
    </row>
    <row r="12" spans="2:7" ht="12.75">
      <c r="B12" s="319" t="s">
        <v>32</v>
      </c>
      <c r="C12" s="320">
        <f>SUM(C13:C26)</f>
        <v>304667803.38</v>
      </c>
      <c r="D12" s="320"/>
      <c r="E12" s="320">
        <f aca="true" t="shared" si="0" ref="E12:E26">SUM(C12:D12)</f>
        <v>304667803.38</v>
      </c>
      <c r="F12" s="321" t="e">
        <f>+E12/E113</f>
        <v>#REF!</v>
      </c>
      <c r="G12" s="356"/>
    </row>
    <row r="13" spans="2:7" ht="12.75">
      <c r="B13" s="315" t="s">
        <v>52</v>
      </c>
      <c r="C13" s="316">
        <f>+'Inversión total en programas'!B10</f>
        <v>21500000</v>
      </c>
      <c r="D13" s="316"/>
      <c r="E13" s="316">
        <f t="shared" si="0"/>
        <v>21500000</v>
      </c>
      <c r="F13" s="317" t="e">
        <f>+E13/E113</f>
        <v>#REF!</v>
      </c>
      <c r="G13" s="356"/>
    </row>
    <row r="14" spans="2:7" ht="12.75">
      <c r="B14" s="315" t="s">
        <v>53</v>
      </c>
      <c r="C14" s="316">
        <f>+'Inversión total en programas'!B11</f>
        <v>5924000</v>
      </c>
      <c r="D14" s="316"/>
      <c r="E14" s="316">
        <f t="shared" si="0"/>
        <v>5924000</v>
      </c>
      <c r="F14" s="317" t="e">
        <f>+E14/E113</f>
        <v>#REF!</v>
      </c>
      <c r="G14" s="356"/>
    </row>
    <row r="15" spans="2:7" ht="12.75">
      <c r="B15" s="315" t="s">
        <v>54</v>
      </c>
      <c r="C15" s="316">
        <f>+'Inversión total en programas'!B12</f>
        <v>15000000</v>
      </c>
      <c r="D15" s="316"/>
      <c r="E15" s="316">
        <f t="shared" si="0"/>
        <v>15000000</v>
      </c>
      <c r="F15" s="317" t="e">
        <f>+E15/E113</f>
        <v>#REF!</v>
      </c>
      <c r="G15" s="356"/>
    </row>
    <row r="16" spans="2:7" ht="12.75">
      <c r="B16" s="315" t="s">
        <v>33</v>
      </c>
      <c r="C16" s="316">
        <f>+'Inversión total en programas'!B13</f>
        <v>16571515</v>
      </c>
      <c r="D16" s="316"/>
      <c r="E16" s="316">
        <f t="shared" si="0"/>
        <v>16571515</v>
      </c>
      <c r="F16" s="317" t="e">
        <f>+E16/E113</f>
        <v>#REF!</v>
      </c>
      <c r="G16" s="356"/>
    </row>
    <row r="17" spans="2:7" ht="12.75">
      <c r="B17" s="315" t="s">
        <v>55</v>
      </c>
      <c r="C17" s="316">
        <f>+'Inversión total en programas'!B14</f>
        <v>33250000</v>
      </c>
      <c r="D17" s="316"/>
      <c r="E17" s="316">
        <f t="shared" si="0"/>
        <v>33250000</v>
      </c>
      <c r="F17" s="317" t="e">
        <f>+E17/E113</f>
        <v>#REF!</v>
      </c>
      <c r="G17" s="356"/>
    </row>
    <row r="18" spans="2:7" ht="12.75">
      <c r="B18" s="315" t="s">
        <v>34</v>
      </c>
      <c r="C18" s="316">
        <f>+'Inversión total en programas'!B15</f>
        <v>30729600</v>
      </c>
      <c r="D18" s="316"/>
      <c r="E18" s="316">
        <f t="shared" si="0"/>
        <v>30729600</v>
      </c>
      <c r="F18" s="317" t="e">
        <f>+E18/E113</f>
        <v>#REF!</v>
      </c>
      <c r="G18" s="356"/>
    </row>
    <row r="19" spans="2:7" ht="12.75">
      <c r="B19" s="315" t="s">
        <v>312</v>
      </c>
      <c r="C19" s="316">
        <f>+'Inversión total en programas'!B16</f>
        <v>8900000</v>
      </c>
      <c r="D19" s="316"/>
      <c r="E19" s="316">
        <f t="shared" si="0"/>
        <v>8900000</v>
      </c>
      <c r="F19" s="317" t="e">
        <f>+E19/E113</f>
        <v>#REF!</v>
      </c>
      <c r="G19" s="356"/>
    </row>
    <row r="20" spans="2:7" ht="12.75">
      <c r="B20" s="315" t="s">
        <v>297</v>
      </c>
      <c r="C20" s="316">
        <f>+'Inversión total en programas'!B17</f>
        <v>20000000</v>
      </c>
      <c r="D20" s="316"/>
      <c r="E20" s="316">
        <f t="shared" si="0"/>
        <v>20000000</v>
      </c>
      <c r="F20" s="317" t="e">
        <f>+E20/E113</f>
        <v>#REF!</v>
      </c>
      <c r="G20" s="362"/>
    </row>
    <row r="21" spans="2:7" ht="12.75">
      <c r="B21" s="315" t="s">
        <v>35</v>
      </c>
      <c r="C21" s="316">
        <f>+'Inversión total en programas'!B18</f>
        <v>42250000</v>
      </c>
      <c r="D21" s="316"/>
      <c r="E21" s="316">
        <f t="shared" si="0"/>
        <v>42250000</v>
      </c>
      <c r="F21" s="317" t="e">
        <f>+E21/E113</f>
        <v>#REF!</v>
      </c>
      <c r="G21" s="362"/>
    </row>
    <row r="22" spans="2:7" ht="12.75">
      <c r="B22" s="315" t="s">
        <v>51</v>
      </c>
      <c r="C22" s="316">
        <f>+'Inversión total en programas'!B19</f>
        <v>3032800</v>
      </c>
      <c r="D22" s="316"/>
      <c r="E22" s="316">
        <f t="shared" si="0"/>
        <v>3032800</v>
      </c>
      <c r="F22" s="317" t="e">
        <f>+E22/E113</f>
        <v>#REF!</v>
      </c>
      <c r="G22" s="362"/>
    </row>
    <row r="23" spans="2:7" ht="12.75">
      <c r="B23" s="315" t="s">
        <v>57</v>
      </c>
      <c r="C23" s="316">
        <f>+'Inversión total en programas'!B20</f>
        <v>26833000</v>
      </c>
      <c r="D23" s="316"/>
      <c r="E23" s="316">
        <f t="shared" si="0"/>
        <v>26833000</v>
      </c>
      <c r="F23" s="317" t="e">
        <f>+E23/E113</f>
        <v>#REF!</v>
      </c>
      <c r="G23" s="362"/>
    </row>
    <row r="24" spans="2:7" ht="12.75">
      <c r="B24" s="315" t="s">
        <v>58</v>
      </c>
      <c r="C24" s="316">
        <f>+'Inversión total en programas'!B21</f>
        <v>8900000</v>
      </c>
      <c r="D24" s="316"/>
      <c r="E24" s="316">
        <f t="shared" si="0"/>
        <v>8900000</v>
      </c>
      <c r="F24" s="317" t="e">
        <f>+E24/E113</f>
        <v>#REF!</v>
      </c>
      <c r="G24" s="362"/>
    </row>
    <row r="25" spans="2:7" ht="12.75">
      <c r="B25" s="315" t="s">
        <v>59</v>
      </c>
      <c r="C25" s="316">
        <f>+'Inversión total en programas'!B22</f>
        <v>60000000</v>
      </c>
      <c r="D25" s="316"/>
      <c r="E25" s="316">
        <f t="shared" si="0"/>
        <v>60000000</v>
      </c>
      <c r="F25" s="317" t="e">
        <f>+E25/E113</f>
        <v>#REF!</v>
      </c>
      <c r="G25" s="362"/>
    </row>
    <row r="26" spans="2:7" ht="12.75">
      <c r="B26" s="315" t="s">
        <v>313</v>
      </c>
      <c r="C26" s="316">
        <f>+'Inversión total en programas'!B23</f>
        <v>11776888.38</v>
      </c>
      <c r="D26" s="316"/>
      <c r="E26" s="316">
        <f t="shared" si="0"/>
        <v>11776888.38</v>
      </c>
      <c r="F26" s="317" t="e">
        <f>+E26/E113</f>
        <v>#REF!</v>
      </c>
      <c r="G26" s="362"/>
    </row>
    <row r="27" spans="2:7" ht="12.75">
      <c r="B27" s="315"/>
      <c r="C27" s="316"/>
      <c r="D27" s="316"/>
      <c r="E27" s="316"/>
      <c r="F27" s="318"/>
      <c r="G27" s="362"/>
    </row>
    <row r="28" spans="2:7" ht="12.75">
      <c r="B28" s="319" t="s">
        <v>42</v>
      </c>
      <c r="C28" s="320"/>
      <c r="D28" s="320" t="e">
        <f>+D30+D37+D47+D56+D67+D74+D83+D96</f>
        <v>#REF!</v>
      </c>
      <c r="E28" s="320" t="e">
        <f>SUM(C28:D28)</f>
        <v>#REF!</v>
      </c>
      <c r="F28" s="321" t="e">
        <f>+E28/E113</f>
        <v>#REF!</v>
      </c>
      <c r="G28" s="362"/>
    </row>
    <row r="29" spans="2:7" ht="12.75">
      <c r="B29" s="315"/>
      <c r="C29" s="316"/>
      <c r="D29" s="316"/>
      <c r="E29" s="316"/>
      <c r="F29" s="318"/>
      <c r="G29" s="362"/>
    </row>
    <row r="30" spans="2:7" ht="12.75">
      <c r="B30" s="319" t="s">
        <v>61</v>
      </c>
      <c r="C30" s="320"/>
      <c r="D30" s="320" t="e">
        <f>+D31+D35</f>
        <v>#REF!</v>
      </c>
      <c r="E30" s="320" t="e">
        <f>+D31+D35</f>
        <v>#REF!</v>
      </c>
      <c r="F30" s="321" t="e">
        <f>+E30/E113</f>
        <v>#REF!</v>
      </c>
      <c r="G30" s="363" t="e">
        <f>+G31+G35</f>
        <v>#REF!</v>
      </c>
    </row>
    <row r="31" spans="2:7" ht="12.75">
      <c r="B31" s="319" t="s">
        <v>74</v>
      </c>
      <c r="C31" s="320"/>
      <c r="D31" s="316">
        <f>+'Inversión total en programas'!B29</f>
        <v>145800000</v>
      </c>
      <c r="E31" s="320"/>
      <c r="F31" s="317" t="e">
        <f>+D31/E113</f>
        <v>#REF!</v>
      </c>
      <c r="G31" s="362">
        <v>132079041</v>
      </c>
    </row>
    <row r="32" spans="2:7" ht="12.75">
      <c r="B32" s="315" t="s">
        <v>75</v>
      </c>
      <c r="C32" s="320"/>
      <c r="D32" s="316" t="e">
        <f>+'Inversión total en programas'!B30</f>
        <v>#REF!</v>
      </c>
      <c r="E32" s="320"/>
      <c r="F32" s="317" t="e">
        <f>+D32/E113</f>
        <v>#REF!</v>
      </c>
      <c r="G32" s="362" t="e">
        <f>+#REF!</f>
        <v>#REF!</v>
      </c>
    </row>
    <row r="33" spans="2:7" ht="12.75">
      <c r="B33" s="315" t="s">
        <v>76</v>
      </c>
      <c r="C33" s="320"/>
      <c r="D33" s="316" t="e">
        <f>+'Inversión total en programas'!B31</f>
        <v>#REF!</v>
      </c>
      <c r="E33" s="320"/>
      <c r="F33" s="317" t="e">
        <f>+D33/E113</f>
        <v>#REF!</v>
      </c>
      <c r="G33" s="362" t="e">
        <f>+#REF!</f>
        <v>#REF!</v>
      </c>
    </row>
    <row r="34" spans="2:7" ht="12.75">
      <c r="B34" s="315" t="s">
        <v>314</v>
      </c>
      <c r="C34" s="320"/>
      <c r="D34" s="316" t="e">
        <f>+'Inversión total en programas'!B32</f>
        <v>#REF!</v>
      </c>
      <c r="E34" s="320"/>
      <c r="F34" s="317" t="e">
        <f>+D34/E113</f>
        <v>#REF!</v>
      </c>
      <c r="G34" s="362" t="e">
        <f>+#REF!</f>
        <v>#REF!</v>
      </c>
    </row>
    <row r="35" spans="2:7" ht="12.75">
      <c r="B35" s="319" t="s">
        <v>78</v>
      </c>
      <c r="C35" s="320"/>
      <c r="D35" s="316" t="e">
        <f>+'Inversión total en programas'!B33</f>
        <v>#REF!</v>
      </c>
      <c r="E35" s="320"/>
      <c r="F35" s="317" t="e">
        <f>+D35/E113</f>
        <v>#REF!</v>
      </c>
      <c r="G35" s="362" t="e">
        <f>SUM(G32:G34)</f>
        <v>#REF!</v>
      </c>
    </row>
    <row r="36" spans="2:7" ht="12.75">
      <c r="B36" s="319"/>
      <c r="C36" s="320"/>
      <c r="D36" s="316"/>
      <c r="E36" s="320"/>
      <c r="F36" s="321"/>
      <c r="G36" s="362"/>
    </row>
    <row r="37" spans="2:7" ht="12.75">
      <c r="B37" s="319" t="s">
        <v>65</v>
      </c>
      <c r="C37" s="320"/>
      <c r="D37" s="320" t="e">
        <f>+D38+D45</f>
        <v>#REF!</v>
      </c>
      <c r="E37" s="320" t="e">
        <f>+D38+D45</f>
        <v>#REF!</v>
      </c>
      <c r="F37" s="321" t="e">
        <f>+E37/E113</f>
        <v>#REF!</v>
      </c>
      <c r="G37" s="363" t="e">
        <f>+G38+G45</f>
        <v>#REF!</v>
      </c>
    </row>
    <row r="38" spans="2:7" ht="12.75">
      <c r="B38" s="322" t="s">
        <v>74</v>
      </c>
      <c r="C38" s="323"/>
      <c r="D38" s="316">
        <f>+'Inversión total en programas'!B36</f>
        <v>3826475436</v>
      </c>
      <c r="E38" s="320"/>
      <c r="F38" s="317" t="e">
        <f>+D38/E113</f>
        <v>#REF!</v>
      </c>
      <c r="G38" s="362">
        <v>3249918761</v>
      </c>
    </row>
    <row r="39" spans="2:7" ht="12.75">
      <c r="B39" s="324" t="s">
        <v>79</v>
      </c>
      <c r="C39" s="323"/>
      <c r="D39" s="316" t="e">
        <f>+'Inversión total en programas'!B37</f>
        <v>#REF!</v>
      </c>
      <c r="E39" s="320"/>
      <c r="F39" s="317" t="e">
        <f>+D39/E113</f>
        <v>#REF!</v>
      </c>
      <c r="G39" s="362" t="e">
        <f>+#REF!</f>
        <v>#REF!</v>
      </c>
    </row>
    <row r="40" spans="2:7" ht="12.75">
      <c r="B40" s="324" t="s">
        <v>75</v>
      </c>
      <c r="C40" s="323"/>
      <c r="D40" s="316" t="e">
        <f>+'Inversión total en programas'!B38</f>
        <v>#REF!</v>
      </c>
      <c r="E40" s="320"/>
      <c r="F40" s="317" t="e">
        <f>+D40/E113</f>
        <v>#REF!</v>
      </c>
      <c r="G40" s="362"/>
    </row>
    <row r="41" spans="2:7" ht="12.75">
      <c r="B41" s="324" t="s">
        <v>80</v>
      </c>
      <c r="C41" s="323"/>
      <c r="D41" s="316" t="e">
        <f>+'Inversión total en programas'!B39</f>
        <v>#REF!</v>
      </c>
      <c r="E41" s="320"/>
      <c r="F41" s="317" t="e">
        <f>+D41/E113</f>
        <v>#REF!</v>
      </c>
      <c r="G41" s="362" t="e">
        <f>+#REF!/2</f>
        <v>#REF!</v>
      </c>
    </row>
    <row r="42" spans="2:7" ht="12.75">
      <c r="B42" s="324" t="s">
        <v>81</v>
      </c>
      <c r="C42" s="323"/>
      <c r="D42" s="316" t="e">
        <f>+'Inversión total en programas'!B40</f>
        <v>#REF!</v>
      </c>
      <c r="E42" s="320"/>
      <c r="F42" s="317" t="e">
        <f>+D42/E113</f>
        <v>#REF!</v>
      </c>
      <c r="G42" s="362">
        <v>13976544</v>
      </c>
    </row>
    <row r="43" spans="2:7" ht="12.75">
      <c r="B43" s="324" t="s">
        <v>315</v>
      </c>
      <c r="C43" s="323"/>
      <c r="D43" s="316" t="e">
        <f>+'Inversión total en programas'!B41</f>
        <v>#REF!</v>
      </c>
      <c r="E43" s="320"/>
      <c r="F43" s="317" t="e">
        <f>+D43/E113</f>
        <v>#REF!</v>
      </c>
      <c r="G43" s="362" t="e">
        <f>+#REF!</f>
        <v>#REF!</v>
      </c>
    </row>
    <row r="44" spans="2:7" ht="12.75">
      <c r="B44" s="324" t="s">
        <v>83</v>
      </c>
      <c r="C44" s="323"/>
      <c r="D44" s="316" t="e">
        <f>+'Inversión total en programas'!B42</f>
        <v>#REF!</v>
      </c>
      <c r="E44" s="320"/>
      <c r="F44" s="317" t="e">
        <f>+D44/E113</f>
        <v>#REF!</v>
      </c>
      <c r="G44" s="362" t="e">
        <f>+#REF!</f>
        <v>#REF!</v>
      </c>
    </row>
    <row r="45" spans="2:7" ht="12.75">
      <c r="B45" s="322" t="s">
        <v>78</v>
      </c>
      <c r="C45" s="323"/>
      <c r="D45" s="316" t="e">
        <f>+'Inversión total en programas'!B43</f>
        <v>#REF!</v>
      </c>
      <c r="E45" s="320"/>
      <c r="F45" s="317" t="e">
        <f>+D45/E113</f>
        <v>#REF!</v>
      </c>
      <c r="G45" s="362" t="e">
        <f>SUM(G39:G44)</f>
        <v>#REF!</v>
      </c>
    </row>
    <row r="46" spans="2:7" ht="12.75">
      <c r="B46" s="322"/>
      <c r="C46" s="323"/>
      <c r="D46" s="316"/>
      <c r="E46" s="320"/>
      <c r="F46" s="321"/>
      <c r="G46" s="362"/>
    </row>
    <row r="47" spans="2:7" ht="12.75">
      <c r="B47" s="322" t="s">
        <v>43</v>
      </c>
      <c r="C47" s="323"/>
      <c r="D47" s="320" t="e">
        <f>+D48+D54</f>
        <v>#REF!</v>
      </c>
      <c r="E47" s="320" t="e">
        <f>+D48+D54</f>
        <v>#REF!</v>
      </c>
      <c r="F47" s="321" t="e">
        <f>+E47/E113</f>
        <v>#REF!</v>
      </c>
      <c r="G47" s="362"/>
    </row>
    <row r="48" spans="2:7" ht="12.75">
      <c r="B48" s="322" t="s">
        <v>74</v>
      </c>
      <c r="C48" s="323"/>
      <c r="D48" s="316">
        <f>+'Inversión total en programas'!B46</f>
        <v>372000000</v>
      </c>
      <c r="E48" s="320"/>
      <c r="F48" s="317" t="e">
        <f>+D48/E113</f>
        <v>#REF!</v>
      </c>
      <c r="G48" s="362"/>
    </row>
    <row r="49" spans="2:7" ht="12.75">
      <c r="B49" s="324" t="s">
        <v>84</v>
      </c>
      <c r="C49" s="323"/>
      <c r="D49" s="316">
        <f>+'Inversión total en programas'!B47</f>
        <v>50000000</v>
      </c>
      <c r="E49" s="320"/>
      <c r="F49" s="317" t="e">
        <f>+D49/E113</f>
        <v>#REF!</v>
      </c>
      <c r="G49" s="362"/>
    </row>
    <row r="50" spans="2:7" ht="12.75">
      <c r="B50" s="324" t="s">
        <v>85</v>
      </c>
      <c r="C50" s="323"/>
      <c r="D50" s="316">
        <f>+'Inversión total en programas'!B48</f>
        <v>86000000</v>
      </c>
      <c r="E50" s="320"/>
      <c r="F50" s="317" t="e">
        <f>+D50/E113</f>
        <v>#REF!</v>
      </c>
      <c r="G50" s="362"/>
    </row>
    <row r="51" spans="2:7" ht="12.75">
      <c r="B51" s="324" t="s">
        <v>293</v>
      </c>
      <c r="C51" s="323"/>
      <c r="D51" s="316">
        <f>+'Inversión total en programas'!B49</f>
        <v>236000000</v>
      </c>
      <c r="E51" s="320"/>
      <c r="F51" s="317" t="e">
        <f>+D51/E113</f>
        <v>#REF!</v>
      </c>
      <c r="G51" s="362"/>
    </row>
    <row r="52" spans="2:7" ht="12.75" hidden="1" outlineLevel="1">
      <c r="B52" s="324" t="s">
        <v>86</v>
      </c>
      <c r="C52" s="323"/>
      <c r="D52" s="316">
        <f>+'Inversión total en programas'!B50</f>
        <v>0</v>
      </c>
      <c r="E52" s="320"/>
      <c r="F52" s="317" t="e">
        <f>+D52/E113</f>
        <v>#REF!</v>
      </c>
      <c r="G52" s="362"/>
    </row>
    <row r="53" spans="2:7" ht="12.75" collapsed="1">
      <c r="B53" s="324" t="s">
        <v>75</v>
      </c>
      <c r="C53" s="323"/>
      <c r="D53" s="316" t="e">
        <f>+'Inversión total en programas'!B51</f>
        <v>#REF!</v>
      </c>
      <c r="E53" s="320"/>
      <c r="F53" s="317" t="e">
        <f>+D53/E113</f>
        <v>#REF!</v>
      </c>
      <c r="G53" s="362"/>
    </row>
    <row r="54" spans="2:7" ht="12.75">
      <c r="B54" s="319" t="s">
        <v>78</v>
      </c>
      <c r="C54" s="325"/>
      <c r="D54" s="316" t="e">
        <f>+'Inversión total en programas'!B52</f>
        <v>#REF!</v>
      </c>
      <c r="E54" s="316"/>
      <c r="F54" s="317" t="e">
        <f>+D54/E113</f>
        <v>#REF!</v>
      </c>
      <c r="G54" s="362"/>
    </row>
    <row r="55" spans="2:7" ht="12.75">
      <c r="B55" s="315"/>
      <c r="C55" s="325"/>
      <c r="D55" s="316"/>
      <c r="E55" s="316"/>
      <c r="F55" s="317"/>
      <c r="G55" s="362"/>
    </row>
    <row r="56" spans="2:7" ht="12.75">
      <c r="B56" s="319" t="s">
        <v>347</v>
      </c>
      <c r="C56" s="325"/>
      <c r="D56" s="320" t="e">
        <f>+D57+D65</f>
        <v>#REF!</v>
      </c>
      <c r="E56" s="320" t="e">
        <f>+D57+D65</f>
        <v>#REF!</v>
      </c>
      <c r="F56" s="321" t="e">
        <f>+E56/E113</f>
        <v>#REF!</v>
      </c>
      <c r="G56" s="362"/>
    </row>
    <row r="57" spans="2:7" ht="12.75">
      <c r="B57" s="319" t="s">
        <v>74</v>
      </c>
      <c r="C57" s="325"/>
      <c r="D57" s="316">
        <f>+'Inversión total en programas'!B55</f>
        <v>769208400</v>
      </c>
      <c r="E57" s="320"/>
      <c r="F57" s="317" t="e">
        <f>+D57/E113</f>
        <v>#REF!</v>
      </c>
      <c r="G57" s="362"/>
    </row>
    <row r="58" spans="2:7" ht="12.75">
      <c r="B58" s="324" t="s">
        <v>45</v>
      </c>
      <c r="C58" s="325"/>
      <c r="D58" s="316">
        <f>+'Inversión total en programas'!B56</f>
        <v>170000000</v>
      </c>
      <c r="E58" s="316"/>
      <c r="F58" s="317" t="e">
        <f>+D58/E113</f>
        <v>#REF!</v>
      </c>
      <c r="G58" s="362"/>
    </row>
    <row r="59" spans="2:7" ht="12.75">
      <c r="B59" s="324" t="s">
        <v>260</v>
      </c>
      <c r="C59" s="326"/>
      <c r="D59" s="316">
        <f>+'Inversión total en programas'!B57</f>
        <v>260000000</v>
      </c>
      <c r="E59" s="320"/>
      <c r="F59" s="317" t="e">
        <f>+D59/E113</f>
        <v>#REF!</v>
      </c>
      <c r="G59" s="362"/>
    </row>
    <row r="60" spans="2:7" ht="12.75">
      <c r="B60" s="324" t="s">
        <v>352</v>
      </c>
      <c r="C60" s="326"/>
      <c r="D60" s="316">
        <f>+'Inversión total en programas'!B58</f>
        <v>289208400</v>
      </c>
      <c r="E60" s="320"/>
      <c r="F60" s="317" t="e">
        <f>+D60/E113</f>
        <v>#REF!</v>
      </c>
      <c r="G60" s="362"/>
    </row>
    <row r="61" spans="2:7" ht="12.75">
      <c r="B61" s="324" t="s">
        <v>275</v>
      </c>
      <c r="C61" s="326"/>
      <c r="D61" s="316">
        <f>+'Inversión total en programas'!B59</f>
        <v>50000000</v>
      </c>
      <c r="E61" s="320"/>
      <c r="F61" s="317" t="e">
        <f>+D61/E113</f>
        <v>#REF!</v>
      </c>
      <c r="G61" s="362"/>
    </row>
    <row r="62" spans="2:7" ht="12.75">
      <c r="B62" s="315" t="s">
        <v>75</v>
      </c>
      <c r="C62" s="325"/>
      <c r="D62" s="316" t="e">
        <f>+'Inversión total en programas'!B60</f>
        <v>#REF!</v>
      </c>
      <c r="E62" s="316"/>
      <c r="F62" s="317" t="e">
        <f>+D62/E113</f>
        <v>#REF!</v>
      </c>
      <c r="G62" s="362"/>
    </row>
    <row r="63" spans="2:7" ht="12.75">
      <c r="B63" s="315" t="s">
        <v>353</v>
      </c>
      <c r="C63" s="325"/>
      <c r="D63" s="316" t="e">
        <f>+'Inversión total en programas'!B61</f>
        <v>#REF!</v>
      </c>
      <c r="E63" s="316"/>
      <c r="F63" s="317"/>
      <c r="G63" s="362">
        <f>1733333+1733333+1733333+4083400+4080816+2040408+2057471+2057471+1657471</f>
        <v>21177036</v>
      </c>
    </row>
    <row r="64" spans="2:7" ht="12.75">
      <c r="B64" s="315" t="s">
        <v>292</v>
      </c>
      <c r="C64" s="325"/>
      <c r="D64" s="316" t="e">
        <f>+'Inversión total en programas'!B62</f>
        <v>#REF!</v>
      </c>
      <c r="E64" s="316"/>
      <c r="F64" s="317"/>
      <c r="G64" s="362"/>
    </row>
    <row r="65" spans="2:7" ht="12.75">
      <c r="B65" s="322" t="s">
        <v>78</v>
      </c>
      <c r="C65" s="326"/>
      <c r="D65" s="316" t="e">
        <f>+'Inversión total en programas'!B63</f>
        <v>#REF!</v>
      </c>
      <c r="E65" s="320"/>
      <c r="F65" s="317" t="e">
        <f>+D65/E113</f>
        <v>#REF!</v>
      </c>
      <c r="G65" s="362">
        <f>+G63</f>
        <v>21177036</v>
      </c>
    </row>
    <row r="66" spans="2:7" ht="12.75">
      <c r="B66" s="315"/>
      <c r="C66" s="316"/>
      <c r="D66" s="316"/>
      <c r="E66" s="316"/>
      <c r="F66" s="318"/>
      <c r="G66" s="362"/>
    </row>
    <row r="67" spans="2:7" ht="12.75">
      <c r="B67" s="319" t="s">
        <v>37</v>
      </c>
      <c r="C67" s="316"/>
      <c r="D67" s="320" t="e">
        <f>+D68+D72</f>
        <v>#REF!</v>
      </c>
      <c r="E67" s="320" t="e">
        <f>+D68+D72</f>
        <v>#REF!</v>
      </c>
      <c r="F67" s="321" t="e">
        <f>+E67/E113</f>
        <v>#REF!</v>
      </c>
      <c r="G67" s="363" t="e">
        <f>+G68+G72</f>
        <v>#REF!</v>
      </c>
    </row>
    <row r="68" spans="2:7" ht="12.75">
      <c r="B68" s="322" t="s">
        <v>74</v>
      </c>
      <c r="C68" s="316"/>
      <c r="D68" s="327">
        <f>+'Inversión total en programas'!B66</f>
        <v>340000000</v>
      </c>
      <c r="E68" s="320"/>
      <c r="F68" s="317" t="e">
        <f>+D68/E113</f>
        <v>#REF!</v>
      </c>
      <c r="G68" s="362">
        <v>194637521</v>
      </c>
    </row>
    <row r="69" spans="2:7" ht="12.75">
      <c r="B69" s="315" t="s">
        <v>75</v>
      </c>
      <c r="C69" s="316"/>
      <c r="D69" s="325" t="e">
        <f>+'Inversión total en programas'!B67</f>
        <v>#REF!</v>
      </c>
      <c r="E69" s="316"/>
      <c r="F69" s="317" t="e">
        <f>+D69/E113</f>
        <v>#REF!</v>
      </c>
      <c r="G69" s="362" t="e">
        <f>+#REF!</f>
        <v>#REF!</v>
      </c>
    </row>
    <row r="70" spans="2:7" ht="12.75">
      <c r="B70" s="315" t="s">
        <v>276</v>
      </c>
      <c r="C70" s="316"/>
      <c r="D70" s="325" t="e">
        <f>+'Inversión total en programas'!B68</f>
        <v>#REF!</v>
      </c>
      <c r="E70" s="316"/>
      <c r="F70" s="317" t="e">
        <f>+D70/E113</f>
        <v>#REF!</v>
      </c>
      <c r="G70" s="362"/>
    </row>
    <row r="71" spans="2:7" ht="12.75">
      <c r="B71" s="315" t="s">
        <v>277</v>
      </c>
      <c r="C71" s="316"/>
      <c r="D71" s="325" t="e">
        <f>+'Inversión total en programas'!B69</f>
        <v>#REF!</v>
      </c>
      <c r="E71" s="316"/>
      <c r="F71" s="317" t="e">
        <f>+D71/E113</f>
        <v>#REF!</v>
      </c>
      <c r="G71" s="362"/>
    </row>
    <row r="72" spans="2:7" ht="12.75">
      <c r="B72" s="322" t="s">
        <v>78</v>
      </c>
      <c r="C72" s="316"/>
      <c r="D72" s="325" t="e">
        <f>+'Inversión total en programas'!B70</f>
        <v>#REF!</v>
      </c>
      <c r="E72" s="320"/>
      <c r="F72" s="317" t="e">
        <f>+D72/E113</f>
        <v>#REF!</v>
      </c>
      <c r="G72" s="364" t="e">
        <f>+G69</f>
        <v>#REF!</v>
      </c>
    </row>
    <row r="73" spans="2:7" ht="12.75">
      <c r="B73" s="315"/>
      <c r="C73" s="316"/>
      <c r="D73" s="325"/>
      <c r="E73" s="316"/>
      <c r="F73" s="317"/>
      <c r="G73" s="362"/>
    </row>
    <row r="74" spans="2:7" ht="12.75">
      <c r="B74" s="319" t="s">
        <v>278</v>
      </c>
      <c r="C74" s="316"/>
      <c r="D74" s="326" t="e">
        <f>+D75+D81</f>
        <v>#REF!</v>
      </c>
      <c r="E74" s="320" t="e">
        <f>+D75+D81</f>
        <v>#REF!</v>
      </c>
      <c r="F74" s="321" t="e">
        <f>+E74/E113</f>
        <v>#REF!</v>
      </c>
      <c r="G74" s="362"/>
    </row>
    <row r="75" spans="2:7" ht="12.75">
      <c r="B75" s="319" t="s">
        <v>74</v>
      </c>
      <c r="C75" s="316"/>
      <c r="D75" s="325">
        <f>+'Inversión total en programas'!B73</f>
        <v>472548000</v>
      </c>
      <c r="E75" s="320"/>
      <c r="F75" s="317" t="e">
        <f>+D75/E113</f>
        <v>#REF!</v>
      </c>
      <c r="G75" s="362"/>
    </row>
    <row r="76" spans="2:7" ht="12.75">
      <c r="B76" s="315" t="s">
        <v>281</v>
      </c>
      <c r="C76" s="328"/>
      <c r="D76" s="325">
        <f>+'Inversión total en programas'!B74</f>
        <v>258000000</v>
      </c>
      <c r="E76" s="328"/>
      <c r="F76" s="329" t="e">
        <f>+D76/E113</f>
        <v>#REF!</v>
      </c>
      <c r="G76" s="362"/>
    </row>
    <row r="77" spans="2:7" ht="12.75">
      <c r="B77" s="324" t="s">
        <v>282</v>
      </c>
      <c r="C77" s="316"/>
      <c r="D77" s="325">
        <f>+'Inversión total en programas'!B75</f>
        <v>74148000</v>
      </c>
      <c r="E77" s="320"/>
      <c r="F77" s="317" t="e">
        <f>+D77/E113</f>
        <v>#REF!</v>
      </c>
      <c r="G77" s="362"/>
    </row>
    <row r="78" spans="2:7" ht="12.75">
      <c r="B78" s="315" t="s">
        <v>326</v>
      </c>
      <c r="C78" s="316"/>
      <c r="D78" s="325">
        <f>+'Inversión total en programas'!B76</f>
        <v>130400000</v>
      </c>
      <c r="E78" s="316"/>
      <c r="F78" s="317" t="e">
        <f>+D78/E113</f>
        <v>#REF!</v>
      </c>
      <c r="G78" s="362"/>
    </row>
    <row r="79" spans="2:7" ht="12.75">
      <c r="B79" s="315" t="s">
        <v>279</v>
      </c>
      <c r="C79" s="316"/>
      <c r="D79" s="325">
        <f>+'Inversión total en programas'!B77</f>
        <v>10000000</v>
      </c>
      <c r="E79" s="316"/>
      <c r="F79" s="258" t="e">
        <f>+D79/E113</f>
        <v>#REF!</v>
      </c>
      <c r="G79" s="362"/>
    </row>
    <row r="80" spans="2:7" ht="12.75">
      <c r="B80" s="315" t="s">
        <v>280</v>
      </c>
      <c r="C80" s="316"/>
      <c r="D80" s="316" t="e">
        <f>+'Inversión total en programas'!B78</f>
        <v>#REF!</v>
      </c>
      <c r="E80" s="316"/>
      <c r="F80" s="258" t="e">
        <f>+D80/E113</f>
        <v>#REF!</v>
      </c>
      <c r="G80" s="362"/>
    </row>
    <row r="81" spans="2:7" ht="12.75">
      <c r="B81" s="319" t="s">
        <v>78</v>
      </c>
      <c r="C81" s="316"/>
      <c r="D81" s="316" t="e">
        <f>+'Inversión total en programas'!B79</f>
        <v>#REF!</v>
      </c>
      <c r="E81" s="320"/>
      <c r="F81" s="317" t="e">
        <f>+D81/E113</f>
        <v>#REF!</v>
      </c>
      <c r="G81" s="362"/>
    </row>
    <row r="82" spans="2:7" ht="12.75">
      <c r="B82" s="322"/>
      <c r="C82" s="316"/>
      <c r="D82" s="327"/>
      <c r="E82" s="320"/>
      <c r="F82" s="321"/>
      <c r="G82" s="362"/>
    </row>
    <row r="83" spans="2:7" ht="12.75">
      <c r="B83" s="322" t="s">
        <v>38</v>
      </c>
      <c r="C83" s="316"/>
      <c r="D83" s="323" t="e">
        <f>+D84+D93</f>
        <v>#REF!</v>
      </c>
      <c r="E83" s="320" t="e">
        <f>+D84+D93</f>
        <v>#REF!</v>
      </c>
      <c r="F83" s="321" t="e">
        <f>+E83/E113</f>
        <v>#REF!</v>
      </c>
      <c r="G83" s="363" t="e">
        <f>+G84+G93</f>
        <v>#REF!</v>
      </c>
    </row>
    <row r="84" spans="2:7" ht="12.75">
      <c r="B84" s="322" t="s">
        <v>74</v>
      </c>
      <c r="C84" s="316"/>
      <c r="D84" s="327">
        <f>SUM(D85:D89)</f>
        <v>452000000</v>
      </c>
      <c r="E84" s="320"/>
      <c r="F84" s="317" t="e">
        <f>+D84/E113</f>
        <v>#REF!</v>
      </c>
      <c r="G84" s="362">
        <v>291311426</v>
      </c>
    </row>
    <row r="85" spans="2:7" ht="12.75">
      <c r="B85" s="315" t="s">
        <v>283</v>
      </c>
      <c r="C85" s="316"/>
      <c r="D85" s="327">
        <f>+'Inversión total en programas'!B83</f>
        <v>220000000</v>
      </c>
      <c r="E85" s="316"/>
      <c r="F85" s="317" t="e">
        <f>+D85/E113</f>
        <v>#REF!</v>
      </c>
      <c r="G85" s="362"/>
    </row>
    <row r="86" spans="2:7" ht="12.75">
      <c r="B86" s="324" t="s">
        <v>70</v>
      </c>
      <c r="C86" s="316"/>
      <c r="D86" s="327">
        <f>+'Inversión total en programas'!B84</f>
        <v>55000000</v>
      </c>
      <c r="E86" s="320"/>
      <c r="F86" s="317" t="e">
        <f>+D86/E113</f>
        <v>#REF!</v>
      </c>
      <c r="G86" s="362"/>
    </row>
    <row r="87" spans="2:7" ht="12.75">
      <c r="B87" s="315" t="s">
        <v>71</v>
      </c>
      <c r="C87" s="316"/>
      <c r="D87" s="327">
        <f>+'Inversión total en programas'!B85</f>
        <v>30000000</v>
      </c>
      <c r="E87" s="316"/>
      <c r="F87" s="317" t="e">
        <f>+D87/E113</f>
        <v>#REF!</v>
      </c>
      <c r="G87" s="362"/>
    </row>
    <row r="88" spans="2:7" ht="12.75">
      <c r="B88" s="315" t="s">
        <v>284</v>
      </c>
      <c r="C88" s="316"/>
      <c r="D88" s="327">
        <f>+'Inversión total en programas'!B86</f>
        <v>117000000</v>
      </c>
      <c r="E88" s="316"/>
      <c r="F88" s="317" t="e">
        <f>+D88/E113</f>
        <v>#REF!</v>
      </c>
      <c r="G88" s="362"/>
    </row>
    <row r="89" spans="2:7" ht="12.75">
      <c r="B89" s="324" t="s">
        <v>316</v>
      </c>
      <c r="C89" s="316"/>
      <c r="D89" s="327">
        <f>+'Inversión total en programas'!B87</f>
        <v>30000000</v>
      </c>
      <c r="E89" s="320"/>
      <c r="F89" s="317" t="e">
        <f>+D89/E113</f>
        <v>#REF!</v>
      </c>
      <c r="G89" s="362"/>
    </row>
    <row r="90" spans="2:8" ht="12.75">
      <c r="B90" s="324" t="s">
        <v>285</v>
      </c>
      <c r="C90" s="316"/>
      <c r="D90" s="327" t="e">
        <f>+'Inversión total en programas'!B88</f>
        <v>#REF!</v>
      </c>
      <c r="E90" s="320"/>
      <c r="F90" s="317" t="e">
        <f>+D90/E113</f>
        <v>#REF!</v>
      </c>
      <c r="G90" s="362">
        <v>14882095</v>
      </c>
      <c r="H90" s="308" t="s">
        <v>356</v>
      </c>
    </row>
    <row r="91" spans="2:7" ht="12.75">
      <c r="B91" s="324" t="s">
        <v>318</v>
      </c>
      <c r="C91" s="316"/>
      <c r="D91" s="327" t="e">
        <f>+'Inversión total en programas'!B89</f>
        <v>#REF!</v>
      </c>
      <c r="E91" s="320"/>
      <c r="F91" s="317" t="e">
        <f>+D91/E113</f>
        <v>#REF!</v>
      </c>
      <c r="G91" s="362"/>
    </row>
    <row r="92" spans="2:7" ht="12.75">
      <c r="B92" s="324" t="s">
        <v>317</v>
      </c>
      <c r="C92" s="316"/>
      <c r="D92" s="327" t="e">
        <f>+'Inversión total en programas'!B90</f>
        <v>#REF!</v>
      </c>
      <c r="E92" s="320"/>
      <c r="F92" s="317" t="e">
        <f>+D92/E113</f>
        <v>#REF!</v>
      </c>
      <c r="G92" s="362" t="e">
        <f>+#REF!</f>
        <v>#REF!</v>
      </c>
    </row>
    <row r="93" spans="2:7" ht="12.75">
      <c r="B93" s="322" t="s">
        <v>78</v>
      </c>
      <c r="C93" s="316"/>
      <c r="D93" s="327" t="e">
        <f>+'Inversión total en programas'!B91</f>
        <v>#REF!</v>
      </c>
      <c r="E93" s="320"/>
      <c r="F93" s="317" t="e">
        <f>+D93/E113</f>
        <v>#REF!</v>
      </c>
      <c r="G93" s="362" t="e">
        <f>SUM(G85:G92)</f>
        <v>#REF!</v>
      </c>
    </row>
    <row r="94" spans="2:7" ht="12.75">
      <c r="B94" s="315"/>
      <c r="C94" s="316"/>
      <c r="D94" s="327"/>
      <c r="E94" s="316"/>
      <c r="F94" s="317"/>
      <c r="G94" s="362"/>
    </row>
    <row r="95" spans="2:7" ht="12.75">
      <c r="B95" s="322"/>
      <c r="C95" s="316"/>
      <c r="D95" s="323"/>
      <c r="E95" s="320"/>
      <c r="F95" s="317"/>
      <c r="G95" s="362"/>
    </row>
    <row r="96" spans="2:7" ht="12.75">
      <c r="B96" s="319" t="s">
        <v>288</v>
      </c>
      <c r="C96" s="316"/>
      <c r="D96" s="323" t="e">
        <f>+D97+D99</f>
        <v>#REF!</v>
      </c>
      <c r="E96" s="320" t="e">
        <f>+D97+D99</f>
        <v>#REF!</v>
      </c>
      <c r="F96" s="321" t="e">
        <f>+E96/E113</f>
        <v>#REF!</v>
      </c>
      <c r="G96" s="363" t="e">
        <f>+G97+G99</f>
        <v>#REF!</v>
      </c>
    </row>
    <row r="97" spans="2:7" ht="12.75">
      <c r="B97" s="319" t="s">
        <v>74</v>
      </c>
      <c r="C97" s="316"/>
      <c r="D97" s="327">
        <f>+'Inversión total en programas'!B95</f>
        <v>73000000</v>
      </c>
      <c r="E97" s="316"/>
      <c r="F97" s="317" t="e">
        <f>+D97/E113</f>
        <v>#REF!</v>
      </c>
      <c r="G97" s="362">
        <v>73568009</v>
      </c>
    </row>
    <row r="98" spans="2:7" ht="12.75">
      <c r="B98" s="324" t="s">
        <v>287</v>
      </c>
      <c r="C98" s="316"/>
      <c r="D98" s="327" t="e">
        <f>+'Inversión total en programas'!B96</f>
        <v>#REF!</v>
      </c>
      <c r="E98" s="320"/>
      <c r="F98" s="317" t="e">
        <f>+D98/E113</f>
        <v>#REF!</v>
      </c>
      <c r="G98" s="362" t="e">
        <f>+#REF!</f>
        <v>#REF!</v>
      </c>
    </row>
    <row r="99" spans="2:7" ht="12.75">
      <c r="B99" s="319" t="s">
        <v>78</v>
      </c>
      <c r="C99" s="316"/>
      <c r="D99" s="323" t="e">
        <f>+'Inversión total en programas'!B97</f>
        <v>#REF!</v>
      </c>
      <c r="E99" s="316"/>
      <c r="F99" s="317" t="e">
        <f>+D99/E113</f>
        <v>#REF!</v>
      </c>
      <c r="G99" s="362" t="e">
        <f>+G98</f>
        <v>#REF!</v>
      </c>
    </row>
    <row r="100" spans="2:7" ht="13.5" thickBot="1">
      <c r="B100" s="366"/>
      <c r="C100" s="367"/>
      <c r="D100" s="368"/>
      <c r="E100" s="367"/>
      <c r="F100" s="369"/>
      <c r="G100" s="362"/>
    </row>
    <row r="101" spans="2:7" ht="13.5" thickBot="1">
      <c r="B101" s="343" t="s">
        <v>305</v>
      </c>
      <c r="C101" s="344" t="e">
        <f>+C9+C12</f>
        <v>#REF!</v>
      </c>
      <c r="D101" s="344" t="e">
        <f>+D96+D83+D74+D67+D56+D47+D37+D30</f>
        <v>#REF!</v>
      </c>
      <c r="E101" s="344" t="e">
        <f>+E9+E12+E28</f>
        <v>#REF!</v>
      </c>
      <c r="F101" s="345" t="e">
        <f>+E101/E113</f>
        <v>#REF!</v>
      </c>
      <c r="G101" s="365"/>
    </row>
    <row r="102" spans="2:7" ht="12.75">
      <c r="B102" s="370"/>
      <c r="C102" s="371"/>
      <c r="D102" s="371"/>
      <c r="E102" s="371"/>
      <c r="F102" s="372"/>
      <c r="G102" s="362"/>
    </row>
    <row r="103" spans="2:7" ht="12.75">
      <c r="B103" s="319" t="s">
        <v>327</v>
      </c>
      <c r="C103" s="316"/>
      <c r="D103" s="316"/>
      <c r="E103" s="320">
        <f>+'Inversión total en programas'!C99</f>
        <v>916081953.1505461</v>
      </c>
      <c r="F103" s="321" t="e">
        <f>+E103/E113</f>
        <v>#REF!</v>
      </c>
      <c r="G103" s="362"/>
    </row>
    <row r="104" spans="2:7" ht="12.75">
      <c r="B104" s="315"/>
      <c r="C104" s="316"/>
      <c r="D104" s="316"/>
      <c r="E104" s="316"/>
      <c r="F104" s="318"/>
      <c r="G104" s="362"/>
    </row>
    <row r="105" spans="2:7" ht="12.75">
      <c r="B105" s="319" t="s">
        <v>306</v>
      </c>
      <c r="C105" s="316"/>
      <c r="D105" s="316"/>
      <c r="E105" s="316"/>
      <c r="F105" s="318"/>
      <c r="G105" s="362"/>
    </row>
    <row r="106" spans="2:7" ht="13.5" thickBot="1">
      <c r="B106" s="330"/>
      <c r="C106" s="331"/>
      <c r="D106" s="331"/>
      <c r="E106" s="331"/>
      <c r="F106" s="332"/>
      <c r="G106" s="362"/>
    </row>
    <row r="107" spans="2:7" ht="13.5" thickBot="1">
      <c r="B107" s="333" t="s">
        <v>307</v>
      </c>
      <c r="C107" s="334"/>
      <c r="D107" s="334"/>
      <c r="E107" s="334" t="e">
        <f>+E105+E103+E101</f>
        <v>#REF!</v>
      </c>
      <c r="F107" s="335" t="e">
        <f>+F103+F28+F12+F9</f>
        <v>#REF!</v>
      </c>
      <c r="G107" s="365"/>
    </row>
    <row r="108" spans="2:7" ht="12.75">
      <c r="B108" s="336"/>
      <c r="C108" s="337"/>
      <c r="D108" s="337"/>
      <c r="E108" s="337"/>
      <c r="F108" s="338"/>
      <c r="G108" s="362"/>
    </row>
    <row r="109" spans="2:7" ht="12.75">
      <c r="B109" s="319" t="s">
        <v>344</v>
      </c>
      <c r="C109" s="316"/>
      <c r="D109" s="316"/>
      <c r="E109" s="320" t="e">
        <f>+E110+E111</f>
        <v>#REF!</v>
      </c>
      <c r="F109" s="321" t="e">
        <f>+E109/$E$113</f>
        <v>#REF!</v>
      </c>
      <c r="G109" s="362"/>
    </row>
    <row r="110" spans="2:7" ht="12.75">
      <c r="B110" s="324" t="s">
        <v>328</v>
      </c>
      <c r="C110" s="316"/>
      <c r="D110" s="327"/>
      <c r="E110" s="316" t="e">
        <f>+SUPERAVIT2005_FNP</f>
        <v>#REF!</v>
      </c>
      <c r="F110" s="317" t="e">
        <f>+E110/$E$113</f>
        <v>#REF!</v>
      </c>
      <c r="G110" s="362"/>
    </row>
    <row r="111" spans="2:7" ht="12.75">
      <c r="B111" s="324" t="s">
        <v>319</v>
      </c>
      <c r="C111" s="316"/>
      <c r="D111" s="327"/>
      <c r="E111" s="316" t="e">
        <f>+SUPERAVITPPC_2005</f>
        <v>#REF!</v>
      </c>
      <c r="F111" s="317" t="e">
        <f>+E111/$E$113</f>
        <v>#REF!</v>
      </c>
      <c r="G111" s="362"/>
    </row>
    <row r="112" spans="2:7" ht="13.5" thickBot="1">
      <c r="B112" s="339"/>
      <c r="C112" s="340"/>
      <c r="D112" s="341"/>
      <c r="E112" s="340"/>
      <c r="F112" s="342"/>
      <c r="G112" s="362"/>
    </row>
    <row r="113" spans="2:7" ht="13.5" thickBot="1">
      <c r="B113" s="343" t="s">
        <v>308</v>
      </c>
      <c r="C113" s="344"/>
      <c r="D113" s="344"/>
      <c r="E113" s="344" t="e">
        <f>+E107+E109</f>
        <v>#REF!</v>
      </c>
      <c r="F113" s="345">
        <v>1</v>
      </c>
      <c r="G113" s="365"/>
    </row>
    <row r="114" spans="2:7" ht="15">
      <c r="B114" s="346"/>
      <c r="C114" s="347" t="s">
        <v>351</v>
      </c>
      <c r="D114" s="347"/>
      <c r="E114" s="347">
        <f>+INGRESOS!D39</f>
        <v>16929368585.148067</v>
      </c>
      <c r="F114" s="346"/>
      <c r="G114" s="314"/>
    </row>
    <row r="115" spans="2:7" ht="15">
      <c r="B115" s="346"/>
      <c r="C115" s="347" t="s">
        <v>259</v>
      </c>
      <c r="D115" s="347"/>
      <c r="E115" s="347" t="e">
        <f>+E114-E113</f>
        <v>#REF!</v>
      </c>
      <c r="F115" s="346"/>
      <c r="G115" s="314"/>
    </row>
    <row r="116" spans="2:7" ht="15">
      <c r="B116" s="346"/>
      <c r="C116" s="347"/>
      <c r="D116" s="347"/>
      <c r="E116" s="347"/>
      <c r="F116" s="346"/>
      <c r="G116" s="314"/>
    </row>
    <row r="117" spans="2:7" ht="15">
      <c r="B117" s="346"/>
      <c r="C117" s="347"/>
      <c r="D117" s="347"/>
      <c r="E117" s="347"/>
      <c r="F117" s="346"/>
      <c r="G117" s="314"/>
    </row>
    <row r="118" spans="2:7" ht="15">
      <c r="B118" s="259" t="s">
        <v>332</v>
      </c>
      <c r="C118" s="348"/>
      <c r="D118" s="347"/>
      <c r="E118" s="347"/>
      <c r="F118" s="346"/>
      <c r="G118" s="314"/>
    </row>
    <row r="119" spans="2:7" ht="15">
      <c r="B119" s="349" t="s">
        <v>333</v>
      </c>
      <c r="C119" s="348"/>
      <c r="D119" s="347"/>
      <c r="E119" s="347"/>
      <c r="F119" s="346"/>
      <c r="G119" s="314"/>
    </row>
    <row r="120" spans="2:7" ht="12.75">
      <c r="B120" s="348" t="s">
        <v>261</v>
      </c>
      <c r="C120" s="350" t="e">
        <f>+#REF!</f>
        <v>#REF!</v>
      </c>
      <c r="D120" s="308"/>
      <c r="E120" s="308"/>
      <c r="F120" s="308"/>
      <c r="G120" s="314"/>
    </row>
    <row r="121" spans="2:7" ht="12.75">
      <c r="B121" s="259" t="s">
        <v>337</v>
      </c>
      <c r="C121" s="348" t="e">
        <f>+#REF!-#REF!</f>
        <v>#REF!</v>
      </c>
      <c r="D121" s="308"/>
      <c r="E121" s="308"/>
      <c r="F121" s="308"/>
      <c r="G121" s="314"/>
    </row>
    <row r="122" spans="2:7" ht="12.75">
      <c r="B122" s="259" t="s">
        <v>333</v>
      </c>
      <c r="C122" s="351">
        <f>+INGRESOS!D14</f>
        <v>6870614648.629096</v>
      </c>
      <c r="D122" s="308"/>
      <c r="E122" s="308"/>
      <c r="F122" s="308"/>
      <c r="G122" s="314"/>
    </row>
    <row r="123" spans="2:7" ht="12.75">
      <c r="B123" s="348" t="s">
        <v>271</v>
      </c>
      <c r="C123" s="352">
        <f>+INGRESOS!D28</f>
        <v>24939779.130000003</v>
      </c>
      <c r="D123" s="308"/>
      <c r="E123" s="308"/>
      <c r="F123" s="308"/>
      <c r="G123" s="314"/>
    </row>
    <row r="124" spans="2:7" ht="12.75">
      <c r="B124" s="348" t="s">
        <v>274</v>
      </c>
      <c r="C124" s="348" t="e">
        <f>+C123+C122+C121+C120</f>
        <v>#REF!</v>
      </c>
      <c r="D124" s="308"/>
      <c r="E124" s="308"/>
      <c r="F124" s="308"/>
      <c r="G124" s="314"/>
    </row>
    <row r="125" spans="2:7" ht="12.75">
      <c r="B125" s="348" t="s">
        <v>338</v>
      </c>
      <c r="C125" s="348"/>
      <c r="D125" s="308"/>
      <c r="E125" s="353"/>
      <c r="F125" s="308"/>
      <c r="G125" s="314"/>
    </row>
    <row r="126" spans="2:7" ht="12.75">
      <c r="B126" s="259" t="s">
        <v>342</v>
      </c>
      <c r="C126" s="352" t="e">
        <f>+#REF!-#REF!-#REF!</f>
        <v>#REF!</v>
      </c>
      <c r="D126" s="308"/>
      <c r="E126" s="353"/>
      <c r="F126" s="308"/>
      <c r="G126" s="314"/>
    </row>
    <row r="127" spans="2:7" ht="12.75">
      <c r="B127" s="348" t="s">
        <v>341</v>
      </c>
      <c r="C127" s="351" t="e">
        <f>+C124-C126</f>
        <v>#REF!</v>
      </c>
      <c r="D127" s="308"/>
      <c r="E127" s="353"/>
      <c r="F127" s="308"/>
      <c r="G127" s="314"/>
    </row>
    <row r="128" spans="2:7" ht="12.75">
      <c r="B128" s="348"/>
      <c r="C128" s="351"/>
      <c r="D128" s="308"/>
      <c r="E128" s="308"/>
      <c r="F128" s="308"/>
      <c r="G128" s="314"/>
    </row>
    <row r="129" spans="2:7" ht="12.75">
      <c r="B129" s="349" t="s">
        <v>334</v>
      </c>
      <c r="C129" s="348"/>
      <c r="F129" s="355"/>
      <c r="G129" s="314"/>
    </row>
    <row r="130" spans="2:7" ht="12.75">
      <c r="B130" s="348" t="s">
        <v>261</v>
      </c>
      <c r="C130" s="350" t="e">
        <f>+#REF!</f>
        <v>#REF!</v>
      </c>
      <c r="D130" s="355"/>
      <c r="G130" s="314"/>
    </row>
    <row r="131" spans="2:7" ht="12.75">
      <c r="B131" s="259" t="s">
        <v>337</v>
      </c>
      <c r="C131" s="348" t="e">
        <f>+#REF!</f>
        <v>#REF!</v>
      </c>
      <c r="D131" s="355"/>
      <c r="G131" s="314"/>
    </row>
    <row r="132" spans="2:7" ht="12.75">
      <c r="B132" s="259" t="s">
        <v>335</v>
      </c>
      <c r="C132" s="348">
        <f>+CUOTAPPC2005</f>
        <v>2290204882.876365</v>
      </c>
      <c r="D132" s="355"/>
      <c r="G132" s="314"/>
    </row>
    <row r="133" spans="2:7" ht="12.75">
      <c r="B133" s="348" t="s">
        <v>336</v>
      </c>
      <c r="C133" s="352">
        <f>+VTAS2005</f>
        <v>3672838470.8</v>
      </c>
      <c r="G133" s="314"/>
    </row>
    <row r="134" spans="2:7" ht="12.75">
      <c r="B134" s="348" t="s">
        <v>274</v>
      </c>
      <c r="C134" s="348" t="e">
        <f>SUM(C130:C133)</f>
        <v>#REF!</v>
      </c>
      <c r="G134" s="314"/>
    </row>
    <row r="135" spans="2:7" ht="12.75">
      <c r="B135" s="348" t="s">
        <v>338</v>
      </c>
      <c r="C135" s="348"/>
      <c r="G135" s="314"/>
    </row>
    <row r="136" spans="2:7" ht="12.75">
      <c r="B136" s="348" t="s">
        <v>339</v>
      </c>
      <c r="C136" s="348" t="e">
        <f>+GTOSEPPC</f>
        <v>#REF!</v>
      </c>
      <c r="G136" s="314"/>
    </row>
    <row r="137" spans="2:7" ht="12.75">
      <c r="B137" s="348" t="s">
        <v>340</v>
      </c>
      <c r="C137" s="352">
        <f>DIAG_PPC</f>
        <v>117000000</v>
      </c>
      <c r="G137" s="314"/>
    </row>
    <row r="138" spans="2:7" ht="12.75">
      <c r="B138" s="348" t="s">
        <v>341</v>
      </c>
      <c r="C138" s="348" t="e">
        <f>+C134-C136-C137</f>
        <v>#REF!</v>
      </c>
      <c r="G138" s="314"/>
    </row>
    <row r="139" ht="12.75">
      <c r="G139" s="314"/>
    </row>
    <row r="140" ht="12.75">
      <c r="G140" s="314"/>
    </row>
    <row r="141" ht="12.75">
      <c r="G141" s="314"/>
    </row>
    <row r="142" ht="12.75">
      <c r="G142" s="314"/>
    </row>
    <row r="143" ht="12.75">
      <c r="G143" s="314"/>
    </row>
    <row r="144" ht="12.75">
      <c r="G144" s="314"/>
    </row>
    <row r="145" ht="12.75">
      <c r="G145" s="314"/>
    </row>
    <row r="146" ht="12.75">
      <c r="G146" s="314"/>
    </row>
    <row r="147" ht="12.75">
      <c r="G147" s="314"/>
    </row>
    <row r="148" ht="12.75">
      <c r="G148" s="314"/>
    </row>
    <row r="149" ht="12.75">
      <c r="G149" s="314"/>
    </row>
    <row r="150" ht="12.75">
      <c r="G150" s="314"/>
    </row>
    <row r="151" ht="12.75">
      <c r="G151" s="314"/>
    </row>
    <row r="152" ht="12.75">
      <c r="G152" s="314"/>
    </row>
    <row r="153" ht="12.75">
      <c r="G153" s="314"/>
    </row>
    <row r="154" ht="12.75">
      <c r="G154" s="314"/>
    </row>
    <row r="155" ht="12.75">
      <c r="G155" s="314"/>
    </row>
    <row r="156" ht="12.75">
      <c r="G156" s="314"/>
    </row>
    <row r="157" ht="12.75">
      <c r="G157" s="314"/>
    </row>
    <row r="158" ht="12.75">
      <c r="G158" s="314"/>
    </row>
    <row r="159" ht="12.75">
      <c r="G159" s="314"/>
    </row>
    <row r="160" ht="12.75">
      <c r="G160" s="314"/>
    </row>
    <row r="161" ht="12.75">
      <c r="G161" s="314"/>
    </row>
    <row r="162" ht="12.75">
      <c r="G162" s="314"/>
    </row>
    <row r="163" ht="12.75">
      <c r="G163" s="314"/>
    </row>
    <row r="164" ht="12.75">
      <c r="G164" s="314"/>
    </row>
    <row r="165" ht="12.75">
      <c r="G165" s="314"/>
    </row>
    <row r="166" ht="12.75">
      <c r="G166" s="314"/>
    </row>
    <row r="167" ht="12.75">
      <c r="G167" s="314"/>
    </row>
    <row r="168" ht="12.75">
      <c r="G168" s="314"/>
    </row>
    <row r="169" ht="12.75">
      <c r="G169" s="314"/>
    </row>
    <row r="170" ht="12.75">
      <c r="G170" s="314"/>
    </row>
    <row r="171" ht="12.75">
      <c r="G171" s="314"/>
    </row>
    <row r="172" ht="12.75">
      <c r="G172" s="314"/>
    </row>
    <row r="173" ht="12.75">
      <c r="G173" s="314"/>
    </row>
    <row r="174" ht="12.75">
      <c r="G174" s="314"/>
    </row>
    <row r="175" ht="12.75">
      <c r="G175" s="314"/>
    </row>
    <row r="176" ht="12.75">
      <c r="G176" s="314"/>
    </row>
    <row r="177" ht="12.75">
      <c r="G177" s="314"/>
    </row>
    <row r="178" ht="12.75">
      <c r="G178" s="314"/>
    </row>
    <row r="179" ht="12.75">
      <c r="G179" s="314"/>
    </row>
    <row r="180" ht="12.75">
      <c r="G180" s="314"/>
    </row>
    <row r="181" ht="12.75">
      <c r="G181" s="314"/>
    </row>
    <row r="182" ht="12.75">
      <c r="G182" s="314"/>
    </row>
    <row r="183" ht="12.75">
      <c r="G183" s="314"/>
    </row>
    <row r="184" ht="12.75">
      <c r="G184" s="314"/>
    </row>
    <row r="185" ht="12.75">
      <c r="G185" s="314"/>
    </row>
    <row r="186" ht="12.75">
      <c r="G186" s="314"/>
    </row>
    <row r="187" ht="12.75">
      <c r="G187" s="314"/>
    </row>
    <row r="188" ht="12.75">
      <c r="G188" s="314"/>
    </row>
    <row r="189" ht="12.75">
      <c r="G189" s="314"/>
    </row>
    <row r="190" ht="12.75">
      <c r="G190" s="314"/>
    </row>
    <row r="191" ht="12.75">
      <c r="G191" s="314"/>
    </row>
    <row r="192" ht="12.75">
      <c r="G192" s="314"/>
    </row>
    <row r="193" ht="12.75">
      <c r="G193" s="314"/>
    </row>
    <row r="194" ht="12.75">
      <c r="G194" s="314"/>
    </row>
    <row r="195" ht="12.75">
      <c r="G195" s="314"/>
    </row>
    <row r="196" ht="12.75">
      <c r="G196" s="314"/>
    </row>
    <row r="197" ht="12.75">
      <c r="G197" s="314"/>
    </row>
    <row r="198" ht="12.75">
      <c r="G198" s="314"/>
    </row>
    <row r="199" ht="12.75">
      <c r="G199" s="314"/>
    </row>
    <row r="200" ht="12.75">
      <c r="G200" s="314"/>
    </row>
    <row r="201" ht="12.75">
      <c r="G201" s="314"/>
    </row>
    <row r="202" ht="12.75">
      <c r="G202" s="314"/>
    </row>
    <row r="203" ht="12.75">
      <c r="G203" s="314"/>
    </row>
    <row r="204" ht="12.75">
      <c r="G204" s="314"/>
    </row>
    <row r="205" ht="12.75">
      <c r="G205" s="314"/>
    </row>
    <row r="206" ht="12.75">
      <c r="G206" s="314"/>
    </row>
    <row r="207" ht="12.75">
      <c r="G207" s="314"/>
    </row>
    <row r="208" ht="12.75">
      <c r="G208" s="314"/>
    </row>
    <row r="209" ht="12.75">
      <c r="G209" s="314"/>
    </row>
    <row r="210" ht="12.75">
      <c r="G210" s="314"/>
    </row>
    <row r="211" ht="12.75">
      <c r="G211" s="314"/>
    </row>
    <row r="212" ht="12.75">
      <c r="G212" s="314"/>
    </row>
    <row r="213" ht="12.75">
      <c r="G213" s="314"/>
    </row>
    <row r="214" ht="12.75">
      <c r="G214" s="314"/>
    </row>
    <row r="215" ht="12.75">
      <c r="G215" s="314"/>
    </row>
    <row r="216" ht="12.75">
      <c r="G216" s="314"/>
    </row>
    <row r="217" ht="12.75">
      <c r="G217" s="314"/>
    </row>
    <row r="218" ht="12.75">
      <c r="G218" s="314"/>
    </row>
    <row r="219" ht="12.75">
      <c r="G219" s="314"/>
    </row>
    <row r="220" ht="12.75">
      <c r="G220" s="314"/>
    </row>
    <row r="221" ht="12.75">
      <c r="G221" s="314"/>
    </row>
    <row r="222" ht="12.75">
      <c r="G222" s="314"/>
    </row>
    <row r="223" ht="12.75">
      <c r="G223" s="314"/>
    </row>
    <row r="224" ht="12.75">
      <c r="G224" s="314"/>
    </row>
    <row r="225" ht="12.75">
      <c r="G225" s="314"/>
    </row>
    <row r="226" ht="12.75">
      <c r="G226" s="314"/>
    </row>
    <row r="227" ht="12.75">
      <c r="G227" s="314"/>
    </row>
    <row r="228" ht="12.75">
      <c r="G228" s="314"/>
    </row>
    <row r="229" ht="12.75">
      <c r="G229" s="314"/>
    </row>
    <row r="230" ht="12.75">
      <c r="G230" s="314"/>
    </row>
    <row r="231" ht="12.75">
      <c r="G231" s="314"/>
    </row>
    <row r="232" ht="12.75">
      <c r="G232" s="314"/>
    </row>
    <row r="233" ht="12.75">
      <c r="G233" s="314"/>
    </row>
    <row r="234" ht="12.75">
      <c r="G234" s="314"/>
    </row>
    <row r="235" ht="12.75">
      <c r="G235" s="314"/>
    </row>
    <row r="236" ht="12.75">
      <c r="G236" s="314"/>
    </row>
    <row r="237" ht="12.75">
      <c r="G237" s="314"/>
    </row>
    <row r="238" ht="12.75">
      <c r="G238" s="314"/>
    </row>
    <row r="239" ht="12.75">
      <c r="G239" s="314"/>
    </row>
    <row r="240" ht="12.75">
      <c r="G240" s="314"/>
    </row>
    <row r="241" ht="12.75">
      <c r="G241" s="314"/>
    </row>
    <row r="242" ht="12.75">
      <c r="G242" s="314"/>
    </row>
    <row r="243" ht="12.75">
      <c r="G243" s="314"/>
    </row>
    <row r="244" ht="12.75">
      <c r="G244" s="314"/>
    </row>
    <row r="245" ht="12.75">
      <c r="G245" s="314"/>
    </row>
    <row r="246" ht="12.75">
      <c r="G246" s="314"/>
    </row>
    <row r="247" ht="12.75">
      <c r="G247" s="314"/>
    </row>
    <row r="248" ht="12.75">
      <c r="G248" s="314"/>
    </row>
    <row r="249" ht="12.75">
      <c r="G249" s="314"/>
    </row>
    <row r="250" ht="12.75">
      <c r="G250" s="314"/>
    </row>
    <row r="251" ht="12.75">
      <c r="G251" s="314"/>
    </row>
    <row r="252" ht="12.75">
      <c r="G252" s="314"/>
    </row>
    <row r="253" ht="12.75">
      <c r="G253" s="314"/>
    </row>
    <row r="254" ht="12.75">
      <c r="G254" s="314"/>
    </row>
    <row r="255" ht="12.75">
      <c r="G255" s="314"/>
    </row>
    <row r="256" ht="12.75">
      <c r="G256" s="314"/>
    </row>
    <row r="257" ht="12.75">
      <c r="G257" s="314"/>
    </row>
    <row r="258" ht="12.75">
      <c r="G258" s="314"/>
    </row>
    <row r="259" ht="12.75">
      <c r="G259" s="314"/>
    </row>
    <row r="260" ht="12.75">
      <c r="G260" s="314"/>
    </row>
    <row r="261" ht="12.75">
      <c r="G261" s="314"/>
    </row>
    <row r="262" ht="12.75">
      <c r="G262" s="314"/>
    </row>
    <row r="263" ht="12.75">
      <c r="G263" s="314"/>
    </row>
    <row r="264" ht="12.75">
      <c r="G264" s="314"/>
    </row>
    <row r="265" ht="12.75">
      <c r="G265" s="314"/>
    </row>
    <row r="266" ht="12.75">
      <c r="G266" s="314"/>
    </row>
    <row r="267" ht="12.75">
      <c r="G267" s="314"/>
    </row>
    <row r="268" ht="12.75">
      <c r="G268" s="314"/>
    </row>
    <row r="269" ht="12.75">
      <c r="G269" s="314"/>
    </row>
    <row r="270" ht="12.75">
      <c r="G270" s="314"/>
    </row>
    <row r="271" ht="12.75">
      <c r="G271" s="314"/>
    </row>
    <row r="272" ht="12.75">
      <c r="G272" s="314"/>
    </row>
    <row r="273" ht="12.75">
      <c r="G273" s="314"/>
    </row>
    <row r="274" ht="12.75">
      <c r="G274" s="314"/>
    </row>
    <row r="275" ht="12.75">
      <c r="G275" s="314"/>
    </row>
    <row r="276" ht="12.75">
      <c r="G276" s="314"/>
    </row>
    <row r="277" ht="12.75">
      <c r="G277" s="314"/>
    </row>
    <row r="278" ht="12.75">
      <c r="G278" s="314"/>
    </row>
    <row r="279" ht="12.75">
      <c r="G279" s="314"/>
    </row>
    <row r="280" ht="12.75">
      <c r="G280" s="314"/>
    </row>
    <row r="281" ht="12.75">
      <c r="G281" s="314"/>
    </row>
    <row r="282" ht="12.75">
      <c r="G282" s="314"/>
    </row>
    <row r="283" ht="12.75">
      <c r="G283" s="314"/>
    </row>
    <row r="284" ht="12.75">
      <c r="G284" s="314"/>
    </row>
    <row r="285" ht="12.75">
      <c r="G285" s="314"/>
    </row>
    <row r="286" ht="12.75">
      <c r="G286" s="314"/>
    </row>
    <row r="287" ht="12.75">
      <c r="G287" s="314"/>
    </row>
    <row r="288" ht="12.75">
      <c r="G288" s="314"/>
    </row>
    <row r="289" ht="12.75">
      <c r="G289" s="314"/>
    </row>
    <row r="290" ht="12.75">
      <c r="G290" s="314"/>
    </row>
    <row r="291" ht="12.75">
      <c r="G291" s="314"/>
    </row>
    <row r="292" ht="12.75">
      <c r="G292" s="314"/>
    </row>
    <row r="293" ht="12.75">
      <c r="G293" s="314"/>
    </row>
    <row r="294" ht="12.75">
      <c r="G294" s="314"/>
    </row>
    <row r="295" ht="12.75">
      <c r="G295" s="314"/>
    </row>
    <row r="296" ht="12.75">
      <c r="G296" s="314"/>
    </row>
    <row r="297" ht="12.75">
      <c r="G297" s="314"/>
    </row>
    <row r="298" ht="12.75">
      <c r="G298" s="314"/>
    </row>
    <row r="299" ht="12.75">
      <c r="G299" s="314"/>
    </row>
    <row r="300" ht="12.75">
      <c r="G300" s="314"/>
    </row>
    <row r="301" ht="12.75">
      <c r="G301" s="314"/>
    </row>
    <row r="302" ht="12.75">
      <c r="G302" s="314"/>
    </row>
    <row r="303" ht="12.75">
      <c r="G303" s="314"/>
    </row>
    <row r="304" ht="12.75">
      <c r="G304" s="314"/>
    </row>
    <row r="305" ht="12.75">
      <c r="G305" s="314"/>
    </row>
    <row r="306" ht="12.75">
      <c r="G306" s="314"/>
    </row>
    <row r="307" ht="12.75">
      <c r="G307" s="314"/>
    </row>
    <row r="308" ht="12.75">
      <c r="G308" s="314"/>
    </row>
    <row r="309" ht="12.75">
      <c r="G309" s="314"/>
    </row>
    <row r="310" ht="12.75">
      <c r="G310" s="314"/>
    </row>
    <row r="311" ht="12.75">
      <c r="G311" s="314"/>
    </row>
    <row r="312" ht="12.75">
      <c r="G312" s="314"/>
    </row>
    <row r="313" ht="12.75">
      <c r="G313" s="314"/>
    </row>
    <row r="314" ht="12.75">
      <c r="G314" s="314"/>
    </row>
    <row r="315" ht="12.75">
      <c r="G315" s="314"/>
    </row>
    <row r="316" ht="12.75">
      <c r="G316" s="314"/>
    </row>
    <row r="317" ht="12.75">
      <c r="G317" s="314"/>
    </row>
    <row r="318" ht="12.75">
      <c r="G318" s="314"/>
    </row>
    <row r="319" ht="12.75">
      <c r="G319" s="314"/>
    </row>
    <row r="320" ht="12.75">
      <c r="G320" s="314"/>
    </row>
    <row r="321" ht="12.75">
      <c r="G321" s="314"/>
    </row>
    <row r="322" ht="12.75">
      <c r="G322" s="314"/>
    </row>
    <row r="323" ht="12.75">
      <c r="G323" s="314"/>
    </row>
    <row r="324" ht="12.75">
      <c r="G324" s="314"/>
    </row>
    <row r="325" ht="12.75">
      <c r="G325" s="314"/>
    </row>
    <row r="326" ht="12.75">
      <c r="G326" s="314"/>
    </row>
    <row r="327" ht="12.75">
      <c r="G327" s="314"/>
    </row>
    <row r="328" ht="12.75">
      <c r="G328" s="314"/>
    </row>
    <row r="329" ht="12.75">
      <c r="G329" s="314"/>
    </row>
    <row r="330" ht="12.75">
      <c r="G330" s="314"/>
    </row>
    <row r="331" ht="12.75">
      <c r="G331" s="314"/>
    </row>
    <row r="332" ht="12.75">
      <c r="G332" s="314"/>
    </row>
    <row r="333" ht="12.75">
      <c r="G333" s="314"/>
    </row>
    <row r="334" ht="12.75">
      <c r="G334" s="314"/>
    </row>
    <row r="335" ht="12.75">
      <c r="G335" s="314"/>
    </row>
    <row r="336" ht="12.75">
      <c r="G336" s="314"/>
    </row>
    <row r="337" ht="12.75">
      <c r="G337" s="314"/>
    </row>
    <row r="338" ht="12.75">
      <c r="G338" s="314"/>
    </row>
    <row r="339" ht="12.75">
      <c r="G339" s="314"/>
    </row>
    <row r="340" ht="12.75">
      <c r="G340" s="314"/>
    </row>
    <row r="341" ht="12.75">
      <c r="G341" s="314"/>
    </row>
    <row r="342" ht="12.75">
      <c r="G342" s="314"/>
    </row>
    <row r="343" ht="12.75">
      <c r="G343" s="314"/>
    </row>
    <row r="344" ht="12.75">
      <c r="G344" s="314"/>
    </row>
    <row r="345" ht="12.75">
      <c r="G345" s="314"/>
    </row>
    <row r="346" ht="12.75">
      <c r="G346" s="314"/>
    </row>
    <row r="347" ht="12.75">
      <c r="G347" s="314"/>
    </row>
    <row r="348" ht="12.75">
      <c r="G348" s="314"/>
    </row>
    <row r="349" ht="12.75">
      <c r="G349" s="314"/>
    </row>
    <row r="350" ht="12.75">
      <c r="G350" s="314"/>
    </row>
    <row r="351" ht="12.75">
      <c r="G351" s="314"/>
    </row>
    <row r="352" ht="12.75">
      <c r="G352" s="314"/>
    </row>
    <row r="353" ht="12.75">
      <c r="G353" s="314"/>
    </row>
    <row r="354" ht="12.75">
      <c r="G354" s="314"/>
    </row>
    <row r="355" ht="12.75">
      <c r="G355" s="314"/>
    </row>
    <row r="356" ht="12.75">
      <c r="G356" s="314"/>
    </row>
    <row r="357" ht="12.75">
      <c r="G357" s="314"/>
    </row>
    <row r="358" ht="12.75">
      <c r="G358" s="314"/>
    </row>
    <row r="359" ht="12.75">
      <c r="G359" s="314"/>
    </row>
    <row r="360" ht="12.75">
      <c r="G360" s="314"/>
    </row>
    <row r="361" ht="12.75">
      <c r="G361" s="314"/>
    </row>
    <row r="362" ht="12.75">
      <c r="G362" s="314"/>
    </row>
    <row r="363" ht="12.75">
      <c r="G363" s="314"/>
    </row>
    <row r="364" ht="12.75">
      <c r="G364" s="314"/>
    </row>
    <row r="365" ht="12.75">
      <c r="G365" s="314"/>
    </row>
    <row r="366" ht="12.75">
      <c r="G366" s="314"/>
    </row>
    <row r="367" ht="12.75">
      <c r="G367" s="314"/>
    </row>
    <row r="368" ht="12.75">
      <c r="G368" s="314"/>
    </row>
    <row r="369" ht="12.75">
      <c r="G369" s="314"/>
    </row>
    <row r="370" ht="12.75">
      <c r="G370" s="314"/>
    </row>
    <row r="371" ht="12.75">
      <c r="G371" s="314"/>
    </row>
    <row r="372" ht="12.75">
      <c r="G372" s="314"/>
    </row>
    <row r="373" ht="12.75">
      <c r="G373" s="314"/>
    </row>
    <row r="374" ht="12.75">
      <c r="G374" s="314"/>
    </row>
    <row r="375" ht="12.75">
      <c r="G375" s="314"/>
    </row>
    <row r="376" ht="12.75">
      <c r="G376" s="314"/>
    </row>
    <row r="377" ht="12.75">
      <c r="G377" s="314"/>
    </row>
    <row r="378" ht="12.75">
      <c r="G378" s="314"/>
    </row>
    <row r="379" ht="12.75">
      <c r="G379" s="314"/>
    </row>
    <row r="380" ht="12.75">
      <c r="G380" s="314"/>
    </row>
    <row r="381" ht="12.75">
      <c r="G381" s="314"/>
    </row>
    <row r="382" ht="12.75">
      <c r="G382" s="314"/>
    </row>
    <row r="383" ht="12.75">
      <c r="G383" s="314"/>
    </row>
    <row r="384" ht="12.75">
      <c r="G384" s="314"/>
    </row>
    <row r="385" ht="12.75">
      <c r="G385" s="314"/>
    </row>
    <row r="386" ht="12.75">
      <c r="G386" s="314"/>
    </row>
    <row r="387" ht="12.75">
      <c r="G387" s="314"/>
    </row>
    <row r="388" ht="12.75">
      <c r="G388" s="314"/>
    </row>
    <row r="389" ht="12.75">
      <c r="G389" s="314"/>
    </row>
    <row r="390" ht="12.75">
      <c r="G390" s="314"/>
    </row>
    <row r="391" ht="12.75">
      <c r="G391" s="314"/>
    </row>
    <row r="392" ht="12.75">
      <c r="G392" s="314"/>
    </row>
    <row r="393" ht="12.75">
      <c r="G393" s="314"/>
    </row>
    <row r="394" ht="12.75">
      <c r="G394" s="314"/>
    </row>
    <row r="395" ht="12.75">
      <c r="G395" s="314"/>
    </row>
    <row r="396" ht="12.75">
      <c r="G396" s="314"/>
    </row>
    <row r="397" ht="12.75">
      <c r="G397" s="314"/>
    </row>
    <row r="398" ht="12.75">
      <c r="G398" s="314"/>
    </row>
    <row r="399" ht="12.75">
      <c r="G399" s="314"/>
    </row>
    <row r="400" ht="12.75">
      <c r="G400" s="314"/>
    </row>
    <row r="401" ht="12.75">
      <c r="G401" s="314"/>
    </row>
    <row r="402" ht="12.75">
      <c r="G402" s="314"/>
    </row>
    <row r="403" ht="12.75">
      <c r="G403" s="314"/>
    </row>
    <row r="404" ht="12.75">
      <c r="G404" s="314"/>
    </row>
    <row r="405" ht="12.75">
      <c r="G405" s="314"/>
    </row>
    <row r="406" ht="12.75">
      <c r="G406" s="314"/>
    </row>
    <row r="407" ht="12.75">
      <c r="G407" s="314"/>
    </row>
    <row r="408" ht="12.75">
      <c r="G408" s="314"/>
    </row>
    <row r="409" ht="12.75">
      <c r="G409" s="314"/>
    </row>
    <row r="410" ht="12.75">
      <c r="G410" s="314"/>
    </row>
    <row r="411" ht="12.75">
      <c r="G411" s="314"/>
    </row>
    <row r="412" ht="12.75">
      <c r="G412" s="314"/>
    </row>
    <row r="413" ht="12.75">
      <c r="G413" s="314"/>
    </row>
    <row r="414" ht="12.75">
      <c r="G414" s="314"/>
    </row>
    <row r="415" ht="12.75">
      <c r="G415" s="314"/>
    </row>
    <row r="416" ht="12.75">
      <c r="G416" s="314"/>
    </row>
    <row r="417" ht="12.75">
      <c r="G417" s="314"/>
    </row>
    <row r="418" ht="12.75">
      <c r="G418" s="314"/>
    </row>
    <row r="419" ht="12.75">
      <c r="G419" s="314"/>
    </row>
    <row r="420" ht="12.75">
      <c r="G420" s="314"/>
    </row>
    <row r="421" ht="12.75">
      <c r="G421" s="314"/>
    </row>
    <row r="422" ht="12.75">
      <c r="G422" s="314"/>
    </row>
    <row r="423" ht="12.75">
      <c r="G423" s="314"/>
    </row>
    <row r="424" ht="12.75">
      <c r="G424" s="314"/>
    </row>
    <row r="425" ht="12.75">
      <c r="G425" s="314"/>
    </row>
    <row r="426" ht="12.75">
      <c r="G426" s="314"/>
    </row>
    <row r="427" ht="12.75">
      <c r="G427" s="314"/>
    </row>
    <row r="428" ht="12.75">
      <c r="G428" s="314"/>
    </row>
    <row r="429" ht="12.75">
      <c r="G429" s="314"/>
    </row>
    <row r="430" ht="12.75">
      <c r="G430" s="314"/>
    </row>
    <row r="431" ht="12.75">
      <c r="G431" s="314"/>
    </row>
    <row r="432" ht="12.75">
      <c r="G432" s="314"/>
    </row>
    <row r="433" ht="12.75">
      <c r="G433" s="314"/>
    </row>
    <row r="434" ht="12.75">
      <c r="G434" s="314"/>
    </row>
    <row r="435" ht="12.75">
      <c r="G435" s="314"/>
    </row>
    <row r="436" ht="12.75">
      <c r="G436" s="314"/>
    </row>
    <row r="437" ht="12.75">
      <c r="G437" s="314"/>
    </row>
    <row r="438" ht="12.75">
      <c r="G438" s="314"/>
    </row>
    <row r="439" ht="12.75">
      <c r="G439" s="314"/>
    </row>
    <row r="440" ht="12.75">
      <c r="G440" s="314"/>
    </row>
    <row r="441" ht="12.75">
      <c r="G441" s="314"/>
    </row>
    <row r="442" ht="12.75">
      <c r="G442" s="314"/>
    </row>
    <row r="443" ht="12.75">
      <c r="G443" s="314"/>
    </row>
    <row r="444" ht="12.75">
      <c r="G444" s="314"/>
    </row>
    <row r="445" ht="12.75">
      <c r="G445" s="314"/>
    </row>
    <row r="446" ht="12.75">
      <c r="G446" s="314"/>
    </row>
    <row r="447" ht="12.75">
      <c r="G447" s="314"/>
    </row>
    <row r="448" ht="12.75">
      <c r="G448" s="314"/>
    </row>
    <row r="449" ht="12.75">
      <c r="G449" s="314"/>
    </row>
    <row r="450" ht="12.75">
      <c r="G450" s="314"/>
    </row>
    <row r="451" ht="12.75">
      <c r="G451" s="314"/>
    </row>
    <row r="452" ht="12.75">
      <c r="G452" s="314"/>
    </row>
    <row r="453" ht="12.75">
      <c r="G453" s="314"/>
    </row>
    <row r="454" ht="12.75">
      <c r="G454" s="314"/>
    </row>
    <row r="455" ht="12.75">
      <c r="G455" s="314"/>
    </row>
    <row r="456" ht="12.75">
      <c r="G456" s="314"/>
    </row>
    <row r="457" ht="12.75">
      <c r="G457" s="314"/>
    </row>
    <row r="458" ht="12.75">
      <c r="G458" s="314"/>
    </row>
    <row r="459" ht="12.75">
      <c r="G459" s="314"/>
    </row>
    <row r="460" ht="12.75">
      <c r="G460" s="314"/>
    </row>
    <row r="461" ht="12.75">
      <c r="G461" s="314"/>
    </row>
    <row r="462" ht="12.75">
      <c r="G462" s="314"/>
    </row>
    <row r="463" ht="12.75">
      <c r="G463" s="314"/>
    </row>
    <row r="464" ht="12.75">
      <c r="G464" s="314"/>
    </row>
    <row r="465" ht="12.75">
      <c r="G465" s="314"/>
    </row>
    <row r="466" ht="12.75">
      <c r="G466" s="314"/>
    </row>
    <row r="467" ht="12.75">
      <c r="G467" s="314"/>
    </row>
    <row r="468" ht="12.75">
      <c r="G468" s="314"/>
    </row>
    <row r="469" ht="12.75">
      <c r="G469" s="314"/>
    </row>
    <row r="470" ht="12.75">
      <c r="G470" s="314"/>
    </row>
    <row r="471" ht="12.75">
      <c r="G471" s="314"/>
    </row>
    <row r="472" ht="12.75">
      <c r="G472" s="314"/>
    </row>
    <row r="473" ht="12.75">
      <c r="G473" s="314"/>
    </row>
    <row r="474" ht="12.75">
      <c r="G474" s="314"/>
    </row>
    <row r="475" ht="12.75">
      <c r="G475" s="314"/>
    </row>
    <row r="476" ht="12.75">
      <c r="G476" s="314"/>
    </row>
    <row r="477" ht="12.75">
      <c r="G477" s="314"/>
    </row>
    <row r="478" ht="12.75">
      <c r="G478" s="314"/>
    </row>
  </sheetData>
  <sheetProtection/>
  <printOptions/>
  <pageMargins left="0.75" right="0.75" top="0.5905511811023623" bottom="0.5905511811023623" header="0" footer="0"/>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2:K30"/>
  <sheetViews>
    <sheetView view="pageBreakPreview" zoomScale="60" zoomScaleNormal="75" zoomScalePageLayoutView="0" workbookViewId="0" topLeftCell="A1">
      <selection activeCell="A36" sqref="A36"/>
    </sheetView>
  </sheetViews>
  <sheetFormatPr defaultColWidth="11.421875" defaultRowHeight="12.75"/>
  <cols>
    <col min="1" max="1" width="35.140625" style="0" bestFit="1" customWidth="1"/>
    <col min="2" max="2" width="18.140625" style="0" customWidth="1"/>
    <col min="3" max="4" width="15.8515625" style="0" bestFit="1" customWidth="1"/>
    <col min="5" max="5" width="16.140625" style="0" bestFit="1" customWidth="1"/>
    <col min="6" max="9" width="15.8515625" style="0" bestFit="1" customWidth="1"/>
    <col min="10" max="10" width="20.421875" style="0" bestFit="1" customWidth="1"/>
    <col min="11" max="11" width="21.140625" style="0" customWidth="1"/>
  </cols>
  <sheetData>
    <row r="2" spans="1:10" ht="15">
      <c r="A2" s="1321"/>
      <c r="B2" s="1321"/>
      <c r="C2" s="1321"/>
      <c r="D2" s="1321"/>
      <c r="E2" s="1321"/>
      <c r="F2" s="1321"/>
      <c r="G2" s="1321"/>
      <c r="H2" s="1321"/>
      <c r="I2" s="1321"/>
      <c r="J2" s="962"/>
    </row>
    <row r="3" spans="1:10" ht="14.25">
      <c r="A3" s="1322" t="s">
        <v>362</v>
      </c>
      <c r="B3" s="1322"/>
      <c r="C3" s="1322"/>
      <c r="D3" s="1322"/>
      <c r="E3" s="1322"/>
      <c r="F3" s="1322"/>
      <c r="G3" s="1322"/>
      <c r="H3" s="1322"/>
      <c r="I3" s="1322"/>
      <c r="J3" s="1322"/>
    </row>
    <row r="4" spans="1:10" ht="15.75" thickBot="1">
      <c r="A4" s="963"/>
      <c r="B4" s="962"/>
      <c r="C4" s="962"/>
      <c r="D4" s="962"/>
      <c r="E4" s="964"/>
      <c r="F4" s="964"/>
      <c r="G4" s="964"/>
      <c r="H4" s="962"/>
      <c r="I4" s="962"/>
      <c r="J4" s="962"/>
    </row>
    <row r="5" spans="1:10" ht="15" thickBot="1">
      <c r="A5" s="965"/>
      <c r="B5" s="966" t="s">
        <v>711</v>
      </c>
      <c r="C5" s="967" t="s">
        <v>712</v>
      </c>
      <c r="D5" s="967" t="s">
        <v>713</v>
      </c>
      <c r="E5" s="967" t="s">
        <v>714</v>
      </c>
      <c r="F5" s="967" t="s">
        <v>715</v>
      </c>
      <c r="G5" s="967" t="s">
        <v>716</v>
      </c>
      <c r="H5" s="967" t="s">
        <v>717</v>
      </c>
      <c r="I5" s="967" t="s">
        <v>718</v>
      </c>
      <c r="J5" s="967" t="s">
        <v>719</v>
      </c>
    </row>
    <row r="6" spans="1:10" ht="30">
      <c r="A6" s="968" t="s">
        <v>720</v>
      </c>
      <c r="B6" s="969">
        <v>69350822.09</v>
      </c>
      <c r="C6" s="969">
        <v>58923141.24</v>
      </c>
      <c r="D6" s="969">
        <v>167706142.19</v>
      </c>
      <c r="E6" s="969">
        <v>89557387.16</v>
      </c>
      <c r="F6" s="969">
        <v>122488737.78</v>
      </c>
      <c r="G6" s="969">
        <v>65284958.49</v>
      </c>
      <c r="H6" s="969">
        <v>47959865.8</v>
      </c>
      <c r="I6" s="969">
        <v>52039041.71</v>
      </c>
      <c r="J6" s="970">
        <f aca="true" t="shared" si="0" ref="J6:J12">SUM(B6:I6)/8</f>
        <v>84163762.05749999</v>
      </c>
    </row>
    <row r="7" spans="1:10" ht="30">
      <c r="A7" s="971" t="s">
        <v>721</v>
      </c>
      <c r="B7" s="972">
        <v>105358</v>
      </c>
      <c r="C7" s="972">
        <v>83703</v>
      </c>
      <c r="D7" s="973">
        <v>284037</v>
      </c>
      <c r="E7" s="973">
        <v>143126</v>
      </c>
      <c r="F7" s="973">
        <v>206031</v>
      </c>
      <c r="G7" s="973">
        <v>86042</v>
      </c>
      <c r="H7" s="972">
        <v>62220</v>
      </c>
      <c r="I7" s="972">
        <v>66912</v>
      </c>
      <c r="J7" s="974">
        <f>SUM(B7:I7)/8</f>
        <v>129678.625</v>
      </c>
    </row>
    <row r="8" spans="1:10" ht="30">
      <c r="A8" s="968" t="s">
        <v>722</v>
      </c>
      <c r="B8" s="972">
        <v>65292557</v>
      </c>
      <c r="C8" s="972">
        <v>107466699</v>
      </c>
      <c r="D8" s="973">
        <v>193925879</v>
      </c>
      <c r="E8" s="973">
        <v>112443445</v>
      </c>
      <c r="F8" s="973">
        <v>83824484</v>
      </c>
      <c r="G8" s="973">
        <f>456677719.22-392364146.32</f>
        <v>64313572.900000036</v>
      </c>
      <c r="H8" s="972">
        <f>223499579.96+152725580.99-295178738.45</f>
        <v>81046422.50000006</v>
      </c>
      <c r="I8" s="972">
        <f>124064517.59-100794139.92</f>
        <v>23270377.67</v>
      </c>
      <c r="J8" s="974">
        <f t="shared" si="0"/>
        <v>91447929.63375</v>
      </c>
    </row>
    <row r="9" spans="1:10" ht="30">
      <c r="A9" s="971" t="s">
        <v>723</v>
      </c>
      <c r="B9" s="972">
        <v>69988.91</v>
      </c>
      <c r="C9" s="972">
        <v>106133.63</v>
      </c>
      <c r="D9" s="973">
        <v>212496.9</v>
      </c>
      <c r="E9" s="973">
        <v>118546.91</v>
      </c>
      <c r="F9" s="973">
        <v>86344.17</v>
      </c>
      <c r="G9" s="973">
        <v>133597.46</v>
      </c>
      <c r="H9" s="972">
        <v>103879.99</v>
      </c>
      <c r="I9" s="972">
        <v>93149.59</v>
      </c>
      <c r="J9" s="974">
        <f t="shared" si="0"/>
        <v>115517.19499999999</v>
      </c>
    </row>
    <row r="10" spans="1:10" ht="30.75" thickBot="1">
      <c r="A10" s="975" t="s">
        <v>724</v>
      </c>
      <c r="B10" s="976">
        <v>5726848.28</v>
      </c>
      <c r="C10" s="976">
        <v>205739844.61</v>
      </c>
      <c r="D10" s="977">
        <v>152923493.54</v>
      </c>
      <c r="E10" s="977">
        <v>294036709.6</v>
      </c>
      <c r="F10" s="977">
        <v>171171101.8</v>
      </c>
      <c r="G10" s="977">
        <v>168727865.07</v>
      </c>
      <c r="H10" s="976">
        <v>178947484.83</v>
      </c>
      <c r="I10" s="976">
        <v>195795418.21</v>
      </c>
      <c r="J10" s="978">
        <v>171633595.74249998</v>
      </c>
    </row>
    <row r="11" spans="1:10" ht="15">
      <c r="A11" s="979" t="s">
        <v>725</v>
      </c>
      <c r="B11" s="972">
        <v>12996.33</v>
      </c>
      <c r="C11" s="972">
        <v>103996.68</v>
      </c>
      <c r="D11" s="973">
        <v>14534.44</v>
      </c>
      <c r="E11" s="973">
        <v>197575.45</v>
      </c>
      <c r="F11" s="973">
        <v>137401.52</v>
      </c>
      <c r="G11" s="973">
        <v>61242.76</v>
      </c>
      <c r="H11" s="972">
        <v>117345.13</v>
      </c>
      <c r="I11" s="972">
        <v>201219.82</v>
      </c>
      <c r="J11" s="974">
        <f t="shared" si="0"/>
        <v>105789.01625000002</v>
      </c>
    </row>
    <row r="12" spans="1:10" ht="15.75" thickBot="1">
      <c r="A12" s="980" t="s">
        <v>726</v>
      </c>
      <c r="B12" s="981">
        <v>0</v>
      </c>
      <c r="C12" s="981">
        <v>0</v>
      </c>
      <c r="D12" s="982">
        <v>478663</v>
      </c>
      <c r="E12" s="982">
        <v>0</v>
      </c>
      <c r="F12" s="982">
        <v>439095</v>
      </c>
      <c r="G12" s="982">
        <v>305359</v>
      </c>
      <c r="H12" s="981">
        <v>95967</v>
      </c>
      <c r="I12" s="981">
        <v>1023069</v>
      </c>
      <c r="J12" s="983">
        <f t="shared" si="0"/>
        <v>292769.125</v>
      </c>
    </row>
    <row r="16" spans="1:11" ht="15">
      <c r="A16" s="1322" t="s">
        <v>177</v>
      </c>
      <c r="B16" s="1322"/>
      <c r="C16" s="1322"/>
      <c r="D16" s="1322"/>
      <c r="E16" s="1322"/>
      <c r="F16" s="1322"/>
      <c r="G16" s="1322"/>
      <c r="H16" s="1322"/>
      <c r="I16" s="1322"/>
      <c r="J16" s="1322"/>
      <c r="K16" s="984"/>
    </row>
    <row r="17" spans="1:11" ht="15.75" thickBot="1">
      <c r="A17" s="963"/>
      <c r="B17" s="963"/>
      <c r="C17" s="962"/>
      <c r="D17" s="962"/>
      <c r="E17" s="962"/>
      <c r="F17" s="985"/>
      <c r="G17" s="985"/>
      <c r="H17" s="985"/>
      <c r="I17" s="962"/>
      <c r="J17" s="962"/>
      <c r="K17" s="962"/>
    </row>
    <row r="18" spans="1:11" ht="15" thickBot="1">
      <c r="A18" s="965"/>
      <c r="B18" s="965" t="s">
        <v>727</v>
      </c>
      <c r="C18" s="966" t="s">
        <v>711</v>
      </c>
      <c r="D18" s="967" t="s">
        <v>712</v>
      </c>
      <c r="E18" s="967" t="s">
        <v>713</v>
      </c>
      <c r="F18" s="967" t="s">
        <v>714</v>
      </c>
      <c r="G18" s="967" t="s">
        <v>715</v>
      </c>
      <c r="H18" s="967" t="s">
        <v>716</v>
      </c>
      <c r="I18" s="967" t="s">
        <v>717</v>
      </c>
      <c r="J18" s="967" t="s">
        <v>718</v>
      </c>
      <c r="K18" s="967" t="s">
        <v>719</v>
      </c>
    </row>
    <row r="19" spans="1:11" ht="30">
      <c r="A19" s="968" t="s">
        <v>728</v>
      </c>
      <c r="B19" s="968">
        <v>0</v>
      </c>
      <c r="C19" s="969">
        <v>179750437.76</v>
      </c>
      <c r="D19" s="969">
        <v>190352311.89</v>
      </c>
      <c r="E19" s="969">
        <v>190400656.88</v>
      </c>
      <c r="F19" s="969">
        <v>190447454.05</v>
      </c>
      <c r="G19" s="969">
        <v>191244528.31</v>
      </c>
      <c r="H19" s="969">
        <v>5730110.34</v>
      </c>
      <c r="I19" s="969">
        <v>4297262.27</v>
      </c>
      <c r="J19" s="969">
        <v>4297623.73</v>
      </c>
      <c r="K19" s="970">
        <f aca="true" t="shared" si="1" ref="K19:K25">SUM(C19:J19)/8</f>
        <v>119565048.15374999</v>
      </c>
    </row>
    <row r="20" spans="1:11" ht="30">
      <c r="A20" s="971" t="s">
        <v>729</v>
      </c>
      <c r="B20" s="971">
        <v>0</v>
      </c>
      <c r="C20" s="972">
        <v>45269.08</v>
      </c>
      <c r="D20" s="972">
        <v>40898.93</v>
      </c>
      <c r="E20" s="973">
        <v>48344.99</v>
      </c>
      <c r="F20" s="973">
        <v>46797.17</v>
      </c>
      <c r="G20" s="973">
        <v>48425.26</v>
      </c>
      <c r="H20" s="973">
        <v>3490.03</v>
      </c>
      <c r="I20" s="972">
        <v>355.93</v>
      </c>
      <c r="J20" s="972">
        <v>361.46</v>
      </c>
      <c r="K20" s="974">
        <f t="shared" si="1"/>
        <v>29242.856249999997</v>
      </c>
    </row>
    <row r="21" spans="1:11" ht="30">
      <c r="A21" s="968" t="s">
        <v>722</v>
      </c>
      <c r="B21" s="968">
        <v>0</v>
      </c>
      <c r="C21" s="972">
        <v>152566980.91</v>
      </c>
      <c r="D21" s="972">
        <v>191708084.25</v>
      </c>
      <c r="E21" s="973">
        <v>269034978.87</v>
      </c>
      <c r="F21" s="973">
        <v>39719742.98</v>
      </c>
      <c r="G21" s="973">
        <v>227261720.66</v>
      </c>
      <c r="H21" s="973">
        <v>127887858.98</v>
      </c>
      <c r="I21" s="972">
        <v>242514376.18</v>
      </c>
      <c r="J21" s="972">
        <v>53607859.8</v>
      </c>
      <c r="K21" s="974">
        <f t="shared" si="1"/>
        <v>163037700.32874998</v>
      </c>
    </row>
    <row r="22" spans="1:11" ht="30">
      <c r="A22" s="971" t="s">
        <v>723</v>
      </c>
      <c r="B22" s="971">
        <v>0</v>
      </c>
      <c r="C22" s="972">
        <v>148743.42</v>
      </c>
      <c r="D22" s="972">
        <v>200372.09</v>
      </c>
      <c r="E22" s="973">
        <v>266344.75</v>
      </c>
      <c r="F22" s="973">
        <v>172424.04</v>
      </c>
      <c r="G22" s="973">
        <v>344025.76</v>
      </c>
      <c r="H22" s="973">
        <v>117050.45</v>
      </c>
      <c r="I22" s="972">
        <v>157069.05</v>
      </c>
      <c r="J22" s="972">
        <v>147276.38</v>
      </c>
      <c r="K22" s="974">
        <f t="shared" si="1"/>
        <v>194163.2425</v>
      </c>
    </row>
    <row r="23" spans="1:11" ht="15">
      <c r="A23" s="986" t="s">
        <v>726</v>
      </c>
      <c r="B23" s="986">
        <v>0</v>
      </c>
      <c r="C23" s="987">
        <f>824029+0</f>
        <v>824029</v>
      </c>
      <c r="D23" s="987">
        <f>618788+4299872</f>
        <v>4918660</v>
      </c>
      <c r="E23" s="988">
        <f>437060+1709569</f>
        <v>2146629</v>
      </c>
      <c r="F23" s="988">
        <f>544725+3303271.75</f>
        <v>3847996.75</v>
      </c>
      <c r="G23" s="988">
        <f>1373570+887302</f>
        <v>2260872</v>
      </c>
      <c r="H23" s="988">
        <f>1311865+642281</f>
        <v>1954146</v>
      </c>
      <c r="I23" s="987">
        <f>664676+3347867</f>
        <v>4012543</v>
      </c>
      <c r="J23" s="987">
        <f>4913803+7557604</f>
        <v>12471407</v>
      </c>
      <c r="K23" s="989">
        <f t="shared" si="1"/>
        <v>4054535.34375</v>
      </c>
    </row>
    <row r="24" spans="1:11" ht="15">
      <c r="A24" s="990" t="s">
        <v>730</v>
      </c>
      <c r="B24" s="991">
        <v>300000000</v>
      </c>
      <c r="C24" s="992">
        <f>943767+188446</f>
        <v>1132213</v>
      </c>
      <c r="D24" s="992">
        <v>1055300</v>
      </c>
      <c r="E24" s="992">
        <v>1168368</v>
      </c>
      <c r="F24" s="992">
        <f>1017611+131379</f>
        <v>1148990</v>
      </c>
      <c r="G24" s="992">
        <v>985341</v>
      </c>
      <c r="H24" s="992">
        <v>1018185</v>
      </c>
      <c r="I24" s="992">
        <f>952373+121658</f>
        <v>1074031</v>
      </c>
      <c r="J24" s="992">
        <v>942850</v>
      </c>
      <c r="K24" s="993">
        <f t="shared" si="1"/>
        <v>1065659.75</v>
      </c>
    </row>
    <row r="25" spans="1:11" ht="15">
      <c r="A25" s="994" t="s">
        <v>731</v>
      </c>
      <c r="B25" s="995">
        <v>300000000</v>
      </c>
      <c r="C25" s="996">
        <v>0</v>
      </c>
      <c r="D25" s="996">
        <v>0</v>
      </c>
      <c r="E25" s="996">
        <v>0</v>
      </c>
      <c r="F25" s="996">
        <v>0</v>
      </c>
      <c r="G25" s="996">
        <v>0</v>
      </c>
      <c r="H25" s="996">
        <v>842861</v>
      </c>
      <c r="I25" s="996">
        <v>936755</v>
      </c>
      <c r="J25" s="996">
        <v>967980</v>
      </c>
      <c r="K25" s="997">
        <f t="shared" si="1"/>
        <v>343449.5</v>
      </c>
    </row>
    <row r="26" spans="1:11" ht="15">
      <c r="A26" s="984"/>
      <c r="B26" s="962"/>
      <c r="C26" s="962"/>
      <c r="D26" s="962"/>
      <c r="E26" s="962"/>
      <c r="F26" s="962"/>
      <c r="G26" s="962"/>
      <c r="H26" s="962"/>
      <c r="I26" s="962"/>
      <c r="J26" s="962"/>
      <c r="K26" s="984"/>
    </row>
    <row r="27" spans="1:11" ht="15.75" thickBot="1">
      <c r="A27" s="984"/>
      <c r="B27" s="962"/>
      <c r="C27" s="962"/>
      <c r="D27" s="962"/>
      <c r="E27" s="962"/>
      <c r="F27" s="962"/>
      <c r="G27" s="962"/>
      <c r="H27" s="962"/>
      <c r="I27" s="962"/>
      <c r="J27" s="962"/>
      <c r="K27" s="998"/>
    </row>
    <row r="28" spans="1:11" ht="15">
      <c r="A28" s="999" t="s">
        <v>725</v>
      </c>
      <c r="B28" s="1000" t="s">
        <v>711</v>
      </c>
      <c r="C28" s="1001" t="s">
        <v>712</v>
      </c>
      <c r="D28" s="1002" t="s">
        <v>713</v>
      </c>
      <c r="E28" s="1002" t="s">
        <v>714</v>
      </c>
      <c r="F28" s="1003" t="s">
        <v>715</v>
      </c>
      <c r="G28" s="1002" t="s">
        <v>716</v>
      </c>
      <c r="H28" s="1003" t="s">
        <v>717</v>
      </c>
      <c r="I28" s="1004" t="s">
        <v>718</v>
      </c>
      <c r="J28" s="1005" t="s">
        <v>732</v>
      </c>
      <c r="K28" s="1006"/>
    </row>
    <row r="29" spans="1:11" ht="15">
      <c r="A29" s="996" t="s">
        <v>733</v>
      </c>
      <c r="B29" s="996">
        <v>532313629.12</v>
      </c>
      <c r="C29" s="996">
        <v>232253926.93</v>
      </c>
      <c r="D29" s="996">
        <v>32253927</v>
      </c>
      <c r="E29" s="996">
        <v>332253927</v>
      </c>
      <c r="F29" s="996">
        <v>382253927</v>
      </c>
      <c r="G29" s="996">
        <v>332253927</v>
      </c>
      <c r="H29" s="996">
        <v>132253927</v>
      </c>
      <c r="I29" s="1007">
        <v>334610458</v>
      </c>
      <c r="J29" s="989">
        <f>SUM(B29:I29)/8</f>
        <v>288805956.13125</v>
      </c>
      <c r="K29" s="998"/>
    </row>
    <row r="30" spans="1:11" ht="15.75" thickBot="1">
      <c r="A30" s="1008" t="s">
        <v>734</v>
      </c>
      <c r="B30" s="1009">
        <v>722717.47</v>
      </c>
      <c r="C30" s="1009">
        <v>1350191.84</v>
      </c>
      <c r="D30" s="1009">
        <v>368333.5</v>
      </c>
      <c r="E30" s="1009">
        <v>77737.1</v>
      </c>
      <c r="F30" s="1009">
        <v>1078977.12</v>
      </c>
      <c r="G30" s="1009">
        <v>810993.53</v>
      </c>
      <c r="H30" s="1009">
        <v>628253.81</v>
      </c>
      <c r="I30" s="1010">
        <v>316441.05</v>
      </c>
      <c r="J30" s="989">
        <f>SUM(B30:I30)/8</f>
        <v>669205.6775000001</v>
      </c>
      <c r="K30" s="998"/>
    </row>
  </sheetData>
  <sheetProtection/>
  <mergeCells count="3">
    <mergeCell ref="A2:I2"/>
    <mergeCell ref="A3:J3"/>
    <mergeCell ref="A16:J16"/>
  </mergeCells>
  <printOptions/>
  <pageMargins left="0.7086614173228347" right="0.7086614173228347" top="0.7480314960629921" bottom="0.7480314960629921" header="0.31496062992125984" footer="0.31496062992125984"/>
  <pageSetup horizontalDpi="600" verticalDpi="600" orientation="landscape" scale="44" r:id="rId1"/>
</worksheet>
</file>

<file path=xl/worksheets/sheet6.xml><?xml version="1.0" encoding="utf-8"?>
<worksheet xmlns="http://schemas.openxmlformats.org/spreadsheetml/2006/main" xmlns:r="http://schemas.openxmlformats.org/officeDocument/2006/relationships">
  <dimension ref="A1:U148"/>
  <sheetViews>
    <sheetView view="pageBreakPreview" zoomScale="60" zoomScaleNormal="90" zoomScalePageLayoutView="0" workbookViewId="0" topLeftCell="A1">
      <pane xSplit="2" ySplit="8" topLeftCell="C15" activePane="bottomRight" state="frozen"/>
      <selection pane="topLeft" activeCell="A1" sqref="A1"/>
      <selection pane="topRight" activeCell="C1" sqref="C1"/>
      <selection pane="bottomLeft" activeCell="A9" sqref="A9"/>
      <selection pane="bottomRight" activeCell="D131" sqref="D131"/>
    </sheetView>
  </sheetViews>
  <sheetFormatPr defaultColWidth="11.421875" defaultRowHeight="12.75"/>
  <cols>
    <col min="1" max="1" width="43.28125" style="654" bestFit="1" customWidth="1"/>
    <col min="2" max="2" width="20.7109375" style="654" customWidth="1"/>
    <col min="3" max="3" width="13.28125" style="654" bestFit="1" customWidth="1"/>
    <col min="4" max="4" width="14.7109375" style="654" bestFit="1" customWidth="1"/>
    <col min="5" max="5" width="20.00390625" style="654" customWidth="1"/>
    <col min="6" max="6" width="21.8515625" style="654" bestFit="1" customWidth="1"/>
    <col min="7" max="7" width="24.7109375" style="654" bestFit="1" customWidth="1"/>
    <col min="8" max="8" width="20.8515625" style="654" customWidth="1"/>
    <col min="9" max="9" width="14.28125" style="656" hidden="1" customWidth="1"/>
    <col min="10" max="10" width="14.7109375" style="656" hidden="1" customWidth="1"/>
    <col min="11" max="11" width="17.28125" style="656" hidden="1" customWidth="1"/>
    <col min="12" max="12" width="18.8515625" style="656" customWidth="1"/>
    <col min="13" max="13" width="17.421875" style="656" hidden="1" customWidth="1"/>
    <col min="14" max="14" width="17.421875" style="657" bestFit="1" customWidth="1"/>
    <col min="15" max="15" width="13.7109375" style="658" hidden="1" customWidth="1"/>
    <col min="16" max="16" width="16.57421875" style="658" hidden="1" customWidth="1"/>
    <col min="17" max="17" width="16.140625" style="658" hidden="1" customWidth="1"/>
    <col min="18" max="18" width="14.8515625" style="654" customWidth="1"/>
    <col min="19" max="19" width="14.140625" style="654" customWidth="1"/>
    <col min="20" max="16384" width="11.421875" style="654" customWidth="1"/>
  </cols>
  <sheetData>
    <row r="1" ht="12.75">
      <c r="F1" s="655"/>
    </row>
    <row r="2" spans="1:3" ht="12.75">
      <c r="A2" s="1344" t="s">
        <v>469</v>
      </c>
      <c r="B2" s="1344"/>
      <c r="C2" s="1344"/>
    </row>
    <row r="3" spans="1:3" ht="12.75">
      <c r="A3" s="659"/>
      <c r="B3" s="659">
        <v>2010</v>
      </c>
      <c r="C3" s="659">
        <v>2011</v>
      </c>
    </row>
    <row r="4" spans="1:3" ht="12.75">
      <c r="A4" s="660" t="s">
        <v>591</v>
      </c>
      <c r="B4" s="659"/>
      <c r="C4" s="661">
        <v>0.04</v>
      </c>
    </row>
    <row r="5" spans="1:3" ht="12.75">
      <c r="A5" s="660" t="s">
        <v>592</v>
      </c>
      <c r="B5" s="659"/>
      <c r="C5" s="661">
        <v>0.04</v>
      </c>
    </row>
    <row r="6" spans="1:3" ht="12.75">
      <c r="A6" s="662" t="s">
        <v>470</v>
      </c>
      <c r="B6" s="663">
        <v>721.11</v>
      </c>
      <c r="C6" s="663">
        <f aca="true" t="shared" si="0" ref="C6:C11">+B6*1.04</f>
        <v>749.9544000000001</v>
      </c>
    </row>
    <row r="7" spans="1:18" ht="38.25">
      <c r="A7" s="662" t="s">
        <v>471</v>
      </c>
      <c r="B7" s="663">
        <v>361.11</v>
      </c>
      <c r="C7" s="663">
        <f t="shared" si="0"/>
        <v>375.55440000000004</v>
      </c>
      <c r="E7" s="664" t="s">
        <v>194</v>
      </c>
      <c r="F7" s="664" t="s">
        <v>472</v>
      </c>
      <c r="G7" s="665" t="s">
        <v>695</v>
      </c>
      <c r="H7" s="664" t="s">
        <v>696</v>
      </c>
      <c r="I7" s="664" t="s">
        <v>473</v>
      </c>
      <c r="J7" s="666"/>
      <c r="K7" s="666"/>
      <c r="L7" s="664" t="s">
        <v>474</v>
      </c>
      <c r="M7" s="666"/>
      <c r="N7" s="664" t="s">
        <v>475</v>
      </c>
      <c r="O7" s="664"/>
      <c r="P7" s="664"/>
      <c r="Q7" s="664"/>
      <c r="R7" s="664" t="s">
        <v>476</v>
      </c>
    </row>
    <row r="8" spans="1:18" ht="12.75">
      <c r="A8" s="662" t="s">
        <v>477</v>
      </c>
      <c r="B8" s="663">
        <v>361.11</v>
      </c>
      <c r="C8" s="663">
        <f t="shared" si="0"/>
        <v>375.55440000000004</v>
      </c>
      <c r="E8" s="1333">
        <v>10</v>
      </c>
      <c r="F8" s="662" t="s">
        <v>478</v>
      </c>
      <c r="G8" s="667">
        <f>+C6+C16+C19</f>
        <v>958.7544</v>
      </c>
      <c r="H8" s="1332">
        <f>+C13+C21</f>
        <v>1325.48</v>
      </c>
      <c r="I8" s="668">
        <v>1200</v>
      </c>
      <c r="J8" s="668"/>
      <c r="K8" s="668"/>
      <c r="L8" s="669">
        <f>+H8-G8</f>
        <v>366.7256</v>
      </c>
      <c r="M8" s="668"/>
      <c r="N8" s="1345">
        <v>1425</v>
      </c>
      <c r="O8" s="670"/>
      <c r="P8" s="670"/>
      <c r="Q8" s="670"/>
      <c r="R8" s="1332">
        <f>+N8-H8</f>
        <v>99.51999999999998</v>
      </c>
    </row>
    <row r="9" spans="1:18" ht="12.75">
      <c r="A9" s="662" t="s">
        <v>697</v>
      </c>
      <c r="B9" s="663">
        <v>678.3</v>
      </c>
      <c r="C9" s="663">
        <f t="shared" si="0"/>
        <v>705.432</v>
      </c>
      <c r="E9" s="1333"/>
      <c r="F9" s="662" t="s">
        <v>479</v>
      </c>
      <c r="G9" s="667">
        <f>+C9+C16+C19</f>
        <v>914.232</v>
      </c>
      <c r="H9" s="1332"/>
      <c r="I9" s="668">
        <v>1000</v>
      </c>
      <c r="J9" s="668"/>
      <c r="K9" s="668"/>
      <c r="L9" s="669">
        <f>+H8-G9</f>
        <v>411.24800000000005</v>
      </c>
      <c r="M9" s="668"/>
      <c r="N9" s="1345"/>
      <c r="O9" s="670"/>
      <c r="P9" s="670"/>
      <c r="Q9" s="670"/>
      <c r="R9" s="1332"/>
    </row>
    <row r="10" spans="1:18" ht="12.75">
      <c r="A10" s="662" t="s">
        <v>698</v>
      </c>
      <c r="B10" s="663">
        <v>480</v>
      </c>
      <c r="C10" s="663">
        <f t="shared" si="0"/>
        <v>499.20000000000005</v>
      </c>
      <c r="E10" s="1333">
        <v>25</v>
      </c>
      <c r="F10" s="662" t="s">
        <v>478</v>
      </c>
      <c r="G10" s="667">
        <f>+C7+C16+C19</f>
        <v>584.3543999999999</v>
      </c>
      <c r="H10" s="1332">
        <f>+C14+C21</f>
        <v>1067.48</v>
      </c>
      <c r="I10" s="668">
        <v>1000</v>
      </c>
      <c r="J10" s="668"/>
      <c r="K10" s="668"/>
      <c r="L10" s="669">
        <f>+H10-G10</f>
        <v>483.1256000000001</v>
      </c>
      <c r="M10" s="668"/>
      <c r="N10" s="1343">
        <v>1176</v>
      </c>
      <c r="O10" s="670"/>
      <c r="P10" s="670"/>
      <c r="Q10" s="670"/>
      <c r="R10" s="1332">
        <f>+N10-H10</f>
        <v>108.51999999999998</v>
      </c>
    </row>
    <row r="11" spans="1:18" ht="12.75">
      <c r="A11" s="662" t="s">
        <v>699</v>
      </c>
      <c r="B11" s="663">
        <v>436</v>
      </c>
      <c r="C11" s="663">
        <f t="shared" si="0"/>
        <v>453.44</v>
      </c>
      <c r="E11" s="1333"/>
      <c r="F11" s="662" t="s">
        <v>479</v>
      </c>
      <c r="G11" s="667">
        <f>+C10+C16+C19</f>
        <v>708</v>
      </c>
      <c r="H11" s="1332"/>
      <c r="I11" s="668"/>
      <c r="J11" s="668"/>
      <c r="K11" s="671" t="e">
        <f>+#REF!/G8</f>
        <v>#REF!</v>
      </c>
      <c r="L11" s="669">
        <f>+H10-G11</f>
        <v>359.48</v>
      </c>
      <c r="M11" s="668"/>
      <c r="N11" s="1343"/>
      <c r="O11" s="670"/>
      <c r="P11" s="670"/>
      <c r="Q11" s="670"/>
      <c r="R11" s="1333"/>
    </row>
    <row r="12" spans="1:18" ht="12.75">
      <c r="A12" s="662" t="s">
        <v>593</v>
      </c>
      <c r="B12" s="663"/>
      <c r="C12" s="661">
        <v>0</v>
      </c>
      <c r="E12" s="1333">
        <v>50</v>
      </c>
      <c r="F12" s="662" t="s">
        <v>478</v>
      </c>
      <c r="G12" s="667">
        <f>+C8+C16+C19</f>
        <v>584.3543999999999</v>
      </c>
      <c r="H12" s="1332">
        <f>+C15+C21</f>
        <v>1067.48</v>
      </c>
      <c r="I12" s="668"/>
      <c r="J12" s="668"/>
      <c r="K12" s="671">
        <f>+G13/G10</f>
        <v>1.1332848695928364</v>
      </c>
      <c r="L12" s="669">
        <f>+H12-G12</f>
        <v>483.1256000000001</v>
      </c>
      <c r="M12" s="668"/>
      <c r="N12" s="1343">
        <v>1176</v>
      </c>
      <c r="O12" s="670"/>
      <c r="P12" s="670"/>
      <c r="Q12" s="670"/>
      <c r="R12" s="1332">
        <f>+N12-H12</f>
        <v>108.51999999999998</v>
      </c>
    </row>
    <row r="13" spans="1:18" ht="12.75">
      <c r="A13" s="662" t="s">
        <v>480</v>
      </c>
      <c r="B13" s="663">
        <v>829</v>
      </c>
      <c r="C13" s="663">
        <f>+B13*(1+$C$12)</f>
        <v>829</v>
      </c>
      <c r="E13" s="1333"/>
      <c r="F13" s="662" t="s">
        <v>479</v>
      </c>
      <c r="G13" s="667">
        <f>+C11+C16+C19</f>
        <v>662.24</v>
      </c>
      <c r="H13" s="1332"/>
      <c r="I13" s="668"/>
      <c r="J13" s="668"/>
      <c r="K13" s="671">
        <f>+G14/G12</f>
        <v>1.6578980153139944</v>
      </c>
      <c r="L13" s="669">
        <f>+H12-G13</f>
        <v>405.24</v>
      </c>
      <c r="M13" s="668"/>
      <c r="N13" s="1343"/>
      <c r="O13" s="670"/>
      <c r="P13" s="670"/>
      <c r="Q13" s="670"/>
      <c r="R13" s="1333"/>
    </row>
    <row r="14" spans="1:18" ht="12.75">
      <c r="A14" s="662" t="s">
        <v>481</v>
      </c>
      <c r="B14" s="663">
        <v>571</v>
      </c>
      <c r="C14" s="663">
        <f>+B14*(1+$C$12)</f>
        <v>571</v>
      </c>
      <c r="E14" s="1334" t="s">
        <v>482</v>
      </c>
      <c r="F14" s="672">
        <v>10</v>
      </c>
      <c r="G14" s="663">
        <f>+C26+C16+C19</f>
        <v>968.8</v>
      </c>
      <c r="H14" s="1337">
        <f>+C26+C21</f>
        <v>1256.48</v>
      </c>
      <c r="I14" s="668"/>
      <c r="J14" s="668"/>
      <c r="K14" s="668"/>
      <c r="L14" s="669"/>
      <c r="M14" s="668"/>
      <c r="N14" s="1340">
        <v>1350</v>
      </c>
      <c r="O14" s="670"/>
      <c r="P14" s="670"/>
      <c r="Q14" s="670"/>
      <c r="R14" s="1337">
        <f>+N14-H14</f>
        <v>93.51999999999998</v>
      </c>
    </row>
    <row r="15" spans="1:18" ht="12.75">
      <c r="A15" s="662" t="s">
        <v>483</v>
      </c>
      <c r="B15" s="663">
        <v>571</v>
      </c>
      <c r="C15" s="663">
        <f>+B15*(1+$C$12)</f>
        <v>571</v>
      </c>
      <c r="E15" s="1335"/>
      <c r="F15" s="672">
        <v>25</v>
      </c>
      <c r="G15" s="663">
        <f>+C10+C16+C19</f>
        <v>708</v>
      </c>
      <c r="H15" s="1338"/>
      <c r="I15" s="668"/>
      <c r="J15" s="668"/>
      <c r="K15" s="668"/>
      <c r="L15" s="669"/>
      <c r="M15" s="668"/>
      <c r="N15" s="1341"/>
      <c r="O15" s="670"/>
      <c r="P15" s="670"/>
      <c r="Q15" s="670"/>
      <c r="R15" s="1338"/>
    </row>
    <row r="16" spans="1:18" ht="12.75">
      <c r="A16" s="662" t="s">
        <v>484</v>
      </c>
      <c r="B16" s="669">
        <v>200</v>
      </c>
      <c r="C16" s="669">
        <v>180</v>
      </c>
      <c r="E16" s="1336"/>
      <c r="F16" s="672">
        <v>50</v>
      </c>
      <c r="G16" s="663">
        <f>+C11+C16+C19</f>
        <v>662.24</v>
      </c>
      <c r="H16" s="1339"/>
      <c r="I16" s="668"/>
      <c r="J16" s="668"/>
      <c r="K16" s="668"/>
      <c r="L16" s="669"/>
      <c r="M16" s="668"/>
      <c r="N16" s="1342"/>
      <c r="O16" s="670"/>
      <c r="P16" s="670"/>
      <c r="Q16" s="670"/>
      <c r="R16" s="1339"/>
    </row>
    <row r="17" spans="1:3" ht="12.75">
      <c r="A17" s="662" t="s">
        <v>485</v>
      </c>
      <c r="B17" s="663">
        <v>428</v>
      </c>
      <c r="C17" s="663">
        <v>428</v>
      </c>
    </row>
    <row r="18" spans="1:3" ht="12.75">
      <c r="A18" s="662" t="s">
        <v>132</v>
      </c>
      <c r="B18" s="661">
        <v>0.16</v>
      </c>
      <c r="C18" s="661">
        <v>0.16</v>
      </c>
    </row>
    <row r="19" spans="1:3" ht="12.75">
      <c r="A19" s="662" t="s">
        <v>486</v>
      </c>
      <c r="B19" s="954">
        <f>+B16*B18</f>
        <v>32</v>
      </c>
      <c r="C19" s="954">
        <f>+C16*C18</f>
        <v>28.8</v>
      </c>
    </row>
    <row r="20" spans="1:3" ht="12.75">
      <c r="A20" s="662" t="s">
        <v>700</v>
      </c>
      <c r="B20" s="672">
        <f>+B17*B18</f>
        <v>68.48</v>
      </c>
      <c r="C20" s="955">
        <f>+C17*C18</f>
        <v>68.48</v>
      </c>
    </row>
    <row r="21" spans="1:4" ht="12.75">
      <c r="A21" s="662" t="s">
        <v>487</v>
      </c>
      <c r="B21" s="663">
        <f>+B17+B20</f>
        <v>496.48</v>
      </c>
      <c r="C21" s="663">
        <f>+C17+C20</f>
        <v>496.48</v>
      </c>
      <c r="D21" s="673"/>
    </row>
    <row r="22" spans="1:4" ht="12.75">
      <c r="A22" s="662" t="s">
        <v>594</v>
      </c>
      <c r="B22" s="663"/>
      <c r="C22" s="663">
        <v>770</v>
      </c>
      <c r="D22" s="673"/>
    </row>
    <row r="23" spans="1:4" ht="12.75">
      <c r="A23" s="662" t="s">
        <v>595</v>
      </c>
      <c r="B23" s="663"/>
      <c r="C23" s="663">
        <f>+C22*16%</f>
        <v>123.2</v>
      </c>
      <c r="D23" s="673"/>
    </row>
    <row r="24" spans="1:4" ht="12.75">
      <c r="A24" s="662" t="s">
        <v>596</v>
      </c>
      <c r="B24" s="663"/>
      <c r="C24" s="663">
        <f>+C22+C23</f>
        <v>893.2</v>
      </c>
      <c r="D24" s="673"/>
    </row>
    <row r="25" spans="1:6" ht="12.75">
      <c r="A25" s="662" t="s">
        <v>488</v>
      </c>
      <c r="B25" s="661">
        <v>0</v>
      </c>
      <c r="C25" s="956">
        <v>0.023</v>
      </c>
      <c r="F25" s="673"/>
    </row>
    <row r="26" spans="1:6" ht="12.75">
      <c r="A26" s="662" t="s">
        <v>489</v>
      </c>
      <c r="B26" s="663">
        <v>742</v>
      </c>
      <c r="C26" s="663">
        <v>760</v>
      </c>
      <c r="F26" s="673"/>
    </row>
    <row r="27" spans="1:6" ht="12.75">
      <c r="A27" s="674" t="s">
        <v>490</v>
      </c>
      <c r="B27" s="672"/>
      <c r="C27" s="672"/>
      <c r="F27" s="673"/>
    </row>
    <row r="28" spans="1:3" ht="12.75">
      <c r="A28" s="662" t="s">
        <v>491</v>
      </c>
      <c r="B28" s="672"/>
      <c r="C28" s="661">
        <v>0.55</v>
      </c>
    </row>
    <row r="29" spans="1:3" ht="12.75">
      <c r="A29" s="662" t="s">
        <v>492</v>
      </c>
      <c r="B29" s="672"/>
      <c r="C29" s="661">
        <v>0.45</v>
      </c>
    </row>
    <row r="30" spans="1:3" ht="12.75">
      <c r="A30" s="662" t="s">
        <v>493</v>
      </c>
      <c r="B30" s="672"/>
      <c r="C30" s="672"/>
    </row>
    <row r="31" spans="1:3" ht="12.75">
      <c r="A31" s="662" t="s">
        <v>494</v>
      </c>
      <c r="B31" s="672"/>
      <c r="C31" s="661">
        <v>0.42</v>
      </c>
    </row>
    <row r="32" spans="1:3" ht="12.75">
      <c r="A32" s="662" t="s">
        <v>495</v>
      </c>
      <c r="B32" s="672"/>
      <c r="C32" s="661">
        <v>0.37</v>
      </c>
    </row>
    <row r="33" spans="1:3" ht="12.75">
      <c r="A33" s="662" t="s">
        <v>496</v>
      </c>
      <c r="B33" s="672"/>
      <c r="C33" s="661">
        <v>0.21</v>
      </c>
    </row>
    <row r="34" spans="1:3" ht="12.75">
      <c r="A34" s="662" t="s">
        <v>497</v>
      </c>
      <c r="B34" s="672"/>
      <c r="C34" s="661"/>
    </row>
    <row r="35" spans="1:3" ht="12.75">
      <c r="A35" s="662" t="s">
        <v>491</v>
      </c>
      <c r="B35" s="672"/>
      <c r="C35" s="661">
        <v>0.7</v>
      </c>
    </row>
    <row r="36" spans="1:3" ht="12.75">
      <c r="A36" s="662" t="s">
        <v>492</v>
      </c>
      <c r="B36" s="672"/>
      <c r="C36" s="661">
        <v>0.3</v>
      </c>
    </row>
    <row r="37" spans="1:3" ht="12.75">
      <c r="A37" s="662" t="s">
        <v>597</v>
      </c>
      <c r="B37" s="672"/>
      <c r="C37" s="661"/>
    </row>
    <row r="38" spans="1:3" ht="12.75">
      <c r="A38" s="662" t="s">
        <v>494</v>
      </c>
      <c r="B38" s="672"/>
      <c r="C38" s="661">
        <v>1</v>
      </c>
    </row>
    <row r="39" spans="1:3" ht="12.75">
      <c r="A39" s="654" t="s">
        <v>495</v>
      </c>
      <c r="B39" s="672"/>
      <c r="C39" s="661">
        <v>0</v>
      </c>
    </row>
    <row r="40" spans="1:3" ht="12.75">
      <c r="A40" s="662" t="s">
        <v>496</v>
      </c>
      <c r="B40" s="672"/>
      <c r="C40" s="661">
        <v>0</v>
      </c>
    </row>
    <row r="41" spans="1:3" ht="12.75">
      <c r="A41" s="662" t="s">
        <v>498</v>
      </c>
      <c r="B41" s="672"/>
      <c r="C41" s="675">
        <v>1674555</v>
      </c>
    </row>
    <row r="42" spans="1:3" ht="12.75">
      <c r="A42" s="662" t="s">
        <v>499</v>
      </c>
      <c r="B42" s="672"/>
      <c r="C42" s="675">
        <v>370000</v>
      </c>
    </row>
    <row r="43" spans="1:3" ht="12.75">
      <c r="A43" s="662" t="s">
        <v>500</v>
      </c>
      <c r="B43" s="672"/>
      <c r="C43" s="675">
        <v>351000</v>
      </c>
    </row>
    <row r="44" spans="1:3" ht="12.75">
      <c r="A44" s="662" t="s">
        <v>501</v>
      </c>
      <c r="B44" s="672"/>
      <c r="C44" s="675">
        <f>+C41-C42-C43</f>
        <v>953555</v>
      </c>
    </row>
    <row r="45" spans="1:3" ht="12.75">
      <c r="A45" s="662" t="s">
        <v>598</v>
      </c>
      <c r="B45" s="672"/>
      <c r="C45" s="675">
        <f>+C41</f>
        <v>1674555</v>
      </c>
    </row>
    <row r="46" spans="1:3" ht="12.75">
      <c r="A46" s="662" t="s">
        <v>599</v>
      </c>
      <c r="B46" s="672"/>
      <c r="C46" s="675">
        <v>2329403</v>
      </c>
    </row>
    <row r="47" spans="1:3" ht="12.75">
      <c r="A47" s="662" t="s">
        <v>502</v>
      </c>
      <c r="B47" s="672"/>
      <c r="C47" s="675">
        <f>+C42</f>
        <v>370000</v>
      </c>
    </row>
    <row r="48" spans="1:3" ht="12.75">
      <c r="A48" s="662" t="s">
        <v>503</v>
      </c>
      <c r="B48" s="672"/>
      <c r="C48" s="675">
        <f>+C43</f>
        <v>351000</v>
      </c>
    </row>
    <row r="49" spans="1:3" ht="12.75">
      <c r="A49" s="676"/>
      <c r="B49" s="676"/>
      <c r="C49" s="676"/>
    </row>
    <row r="50" spans="1:7" ht="12.75">
      <c r="A50" s="676"/>
      <c r="B50" s="676"/>
      <c r="C50" s="676"/>
      <c r="G50" s="673"/>
    </row>
    <row r="51" spans="1:7" ht="12.75">
      <c r="A51" s="677" t="s">
        <v>504</v>
      </c>
      <c r="B51" s="676"/>
      <c r="C51" s="676"/>
      <c r="G51" s="673"/>
    </row>
    <row r="52" spans="1:3" ht="13.5" thickBot="1">
      <c r="A52" s="676"/>
      <c r="B52" s="676"/>
      <c r="C52" s="676"/>
    </row>
    <row r="53" spans="1:17" s="680" customFormat="1" ht="13.5" thickBot="1">
      <c r="A53" s="1325" t="s">
        <v>701</v>
      </c>
      <c r="B53" s="1325"/>
      <c r="C53" s="1325"/>
      <c r="D53" s="1325"/>
      <c r="E53" s="1325"/>
      <c r="F53" s="1325"/>
      <c r="G53" s="1325"/>
      <c r="H53" s="1325"/>
      <c r="I53" s="1325"/>
      <c r="J53" s="1325"/>
      <c r="K53" s="1325"/>
      <c r="L53" s="1325"/>
      <c r="M53" s="1325"/>
      <c r="N53" s="1325"/>
      <c r="O53" s="678"/>
      <c r="P53" s="678"/>
      <c r="Q53" s="679"/>
    </row>
    <row r="54" spans="1:17" s="680" customFormat="1" ht="25.5">
      <c r="A54" s="681" t="s">
        <v>184</v>
      </c>
      <c r="B54" s="1331" t="s">
        <v>185</v>
      </c>
      <c r="C54" s="1331"/>
      <c r="D54" s="1331"/>
      <c r="E54" s="1331" t="s">
        <v>186</v>
      </c>
      <c r="F54" s="1331"/>
      <c r="G54" s="683" t="s">
        <v>187</v>
      </c>
      <c r="H54" s="683" t="s">
        <v>188</v>
      </c>
      <c r="I54" s="682" t="s">
        <v>186</v>
      </c>
      <c r="J54" s="682"/>
      <c r="K54" s="683" t="s">
        <v>187</v>
      </c>
      <c r="L54" s="683" t="s">
        <v>189</v>
      </c>
      <c r="M54" s="683" t="s">
        <v>188</v>
      </c>
      <c r="N54" s="1329" t="s">
        <v>190</v>
      </c>
      <c r="O54" s="684" t="s">
        <v>191</v>
      </c>
      <c r="P54" s="685" t="s">
        <v>192</v>
      </c>
      <c r="Q54" s="686" t="s">
        <v>193</v>
      </c>
    </row>
    <row r="55" spans="1:17" s="680" customFormat="1" ht="25.5">
      <c r="A55" s="687" t="s">
        <v>194</v>
      </c>
      <c r="B55" s="683" t="s">
        <v>195</v>
      </c>
      <c r="C55" s="683" t="s">
        <v>196</v>
      </c>
      <c r="D55" s="683" t="s">
        <v>197</v>
      </c>
      <c r="E55" s="683" t="s">
        <v>360</v>
      </c>
      <c r="F55" s="683" t="s">
        <v>151</v>
      </c>
      <c r="G55" s="688"/>
      <c r="H55" s="688"/>
      <c r="I55" s="683" t="s">
        <v>360</v>
      </c>
      <c r="J55" s="683" t="s">
        <v>151</v>
      </c>
      <c r="K55" s="683"/>
      <c r="L55" s="683"/>
      <c r="M55" s="688"/>
      <c r="N55" s="1329"/>
      <c r="O55" s="689"/>
      <c r="P55" s="664"/>
      <c r="Q55" s="690"/>
    </row>
    <row r="56" spans="1:17" ht="12.75">
      <c r="A56" s="691" t="s">
        <v>198</v>
      </c>
      <c r="B56" s="692">
        <f>+C6</f>
        <v>749.9544000000001</v>
      </c>
      <c r="C56" s="692">
        <f>+C13</f>
        <v>829</v>
      </c>
      <c r="D56" s="692">
        <f>+C56-B56</f>
        <v>79.04559999999992</v>
      </c>
      <c r="E56" s="693">
        <f>+(C44*C28)*C31</f>
        <v>220271.205</v>
      </c>
      <c r="F56" s="693">
        <f>+E56*B56</f>
        <v>165193359.38305202</v>
      </c>
      <c r="G56" s="693">
        <f>+E56*C56</f>
        <v>182604828.945</v>
      </c>
      <c r="H56" s="693">
        <f>+G56-F56</f>
        <v>17411469.56194797</v>
      </c>
      <c r="I56" s="693">
        <f>410990+'[1]GRAFICOS LABORATORIOS'!$G$8</f>
        <v>494740</v>
      </c>
      <c r="J56" s="693" t="e">
        <f>+I56*#REF!</f>
        <v>#REF!</v>
      </c>
      <c r="K56" s="693" t="e">
        <f>+I56*#REF!</f>
        <v>#REF!</v>
      </c>
      <c r="L56" s="694">
        <f>+H56/H59</f>
        <v>0.22652630774521393</v>
      </c>
      <c r="M56" s="693" t="e">
        <f>+K56-J56</f>
        <v>#REF!</v>
      </c>
      <c r="N56" s="695">
        <f>+H56/F56</f>
        <v>0.10540054168626767</v>
      </c>
      <c r="O56" s="696">
        <f>+E56</f>
        <v>220271.205</v>
      </c>
      <c r="P56" s="697" t="e">
        <f>+F56+J56</f>
        <v>#REF!</v>
      </c>
      <c r="Q56" s="698" t="e">
        <f>+M56+H56</f>
        <v>#REF!</v>
      </c>
    </row>
    <row r="57" spans="1:18" ht="12.75">
      <c r="A57" s="691" t="s">
        <v>199</v>
      </c>
      <c r="B57" s="692">
        <f>+C7</f>
        <v>375.55440000000004</v>
      </c>
      <c r="C57" s="692">
        <f>+C14</f>
        <v>571</v>
      </c>
      <c r="D57" s="692">
        <f>+C57-B57</f>
        <v>195.44559999999996</v>
      </c>
      <c r="E57" s="693">
        <f>+(C44*C28)*C32</f>
        <v>194048.4425</v>
      </c>
      <c r="F57" s="693">
        <f>+E57*B57</f>
        <v>72875746.394022</v>
      </c>
      <c r="G57" s="693">
        <f>+E57*C57</f>
        <v>110801660.6675</v>
      </c>
      <c r="H57" s="693">
        <f>+G57-F57</f>
        <v>37925914.273478</v>
      </c>
      <c r="I57" s="693">
        <f>540700+'[1]GRAFICOS LABORATORIOS'!$G$9</f>
        <v>540700</v>
      </c>
      <c r="J57" s="693" t="e">
        <f>+I57*#REF!</f>
        <v>#REF!</v>
      </c>
      <c r="K57" s="693" t="e">
        <f>+I57*#REF!</f>
        <v>#REF!</v>
      </c>
      <c r="L57" s="694">
        <f>+H57/H59</f>
        <v>0.4934228726452947</v>
      </c>
      <c r="M57" s="693" t="e">
        <f>+K57-J57</f>
        <v>#REF!</v>
      </c>
      <c r="N57" s="695">
        <f>+H57/F57</f>
        <v>0.5204188793953686</v>
      </c>
      <c r="O57" s="696">
        <f>+E57</f>
        <v>194048.4425</v>
      </c>
      <c r="P57" s="697" t="e">
        <f>+F57+J57</f>
        <v>#REF!</v>
      </c>
      <c r="Q57" s="698" t="e">
        <f>+M57+H57</f>
        <v>#REF!</v>
      </c>
      <c r="R57" s="699"/>
    </row>
    <row r="58" spans="1:17" ht="12.75">
      <c r="A58" s="691" t="s">
        <v>200</v>
      </c>
      <c r="B58" s="692">
        <f>+C8</f>
        <v>375.55440000000004</v>
      </c>
      <c r="C58" s="692">
        <f>+C15</f>
        <v>571</v>
      </c>
      <c r="D58" s="692">
        <f>+C58-B58</f>
        <v>195.44559999999996</v>
      </c>
      <c r="E58" s="693">
        <f>+(C44*C28)*C33</f>
        <v>110135.6025</v>
      </c>
      <c r="F58" s="693">
        <f>+E58*B58</f>
        <v>41361910.115526006</v>
      </c>
      <c r="G58" s="693">
        <f>+E58*C58</f>
        <v>62887429.027499996</v>
      </c>
      <c r="H58" s="693">
        <f>+G58-F58</f>
        <v>21525518.91197399</v>
      </c>
      <c r="I58" s="693">
        <f>267650+'[1]GRAFICOS LABORATORIOS'!$G$10</f>
        <v>307550</v>
      </c>
      <c r="J58" s="693" t="e">
        <f>+I58*#REF!</f>
        <v>#REF!</v>
      </c>
      <c r="K58" s="693" t="e">
        <f>+I58*#REF!</f>
        <v>#REF!</v>
      </c>
      <c r="L58" s="694">
        <f>+H58/H59</f>
        <v>0.28005081960949146</v>
      </c>
      <c r="M58" s="693" t="e">
        <f>+K58-J58</f>
        <v>#REF!</v>
      </c>
      <c r="N58" s="695">
        <f>+H58/F58</f>
        <v>0.5204188793953682</v>
      </c>
      <c r="O58" s="696">
        <f>+E58</f>
        <v>110135.6025</v>
      </c>
      <c r="P58" s="697" t="e">
        <f>+F58+J58</f>
        <v>#REF!</v>
      </c>
      <c r="Q58" s="698" t="e">
        <f>+M58+H58</f>
        <v>#REF!</v>
      </c>
    </row>
    <row r="59" spans="1:17" ht="13.5" thickBot="1">
      <c r="A59" s="700" t="s">
        <v>201</v>
      </c>
      <c r="B59" s="701">
        <f>+(B56+B57+B58)/3</f>
        <v>500.3544</v>
      </c>
      <c r="C59" s="701">
        <f>SUM(C56:C58)/3</f>
        <v>657</v>
      </c>
      <c r="D59" s="701">
        <f>SUM(D56:D58)/3</f>
        <v>156.64559999999994</v>
      </c>
      <c r="E59" s="702">
        <f>SUM(E56:E58)</f>
        <v>524455.25</v>
      </c>
      <c r="F59" s="702">
        <f aca="true" t="shared" si="1" ref="F59:K59">+SUM(F56:F58)</f>
        <v>279431015.89260006</v>
      </c>
      <c r="G59" s="702">
        <f t="shared" si="1"/>
        <v>356293918.64</v>
      </c>
      <c r="H59" s="702">
        <f t="shared" si="1"/>
        <v>76862902.74739996</v>
      </c>
      <c r="I59" s="702">
        <f t="shared" si="1"/>
        <v>1342990</v>
      </c>
      <c r="J59" s="702" t="e">
        <f t="shared" si="1"/>
        <v>#REF!</v>
      </c>
      <c r="K59" s="702" t="e">
        <f t="shared" si="1"/>
        <v>#REF!</v>
      </c>
      <c r="L59" s="703">
        <f>SUM(L56:L58)</f>
        <v>1.0000000000000002</v>
      </c>
      <c r="M59" s="702" t="e">
        <f>+SUM(M56:M58)</f>
        <v>#REF!</v>
      </c>
      <c r="N59" s="704">
        <f>+H59/F59</f>
        <v>0.27506933151952745</v>
      </c>
      <c r="O59" s="705">
        <f>SUM(O56:O58)</f>
        <v>524455.25</v>
      </c>
      <c r="P59" s="706" t="e">
        <f>SUM(P56:P58)</f>
        <v>#REF!</v>
      </c>
      <c r="Q59" s="707" t="e">
        <f>SUM(Q56:Q58)</f>
        <v>#REF!</v>
      </c>
    </row>
    <row r="60" spans="1:17" ht="12.75">
      <c r="A60" s="708"/>
      <c r="B60" s="709"/>
      <c r="C60" s="710"/>
      <c r="D60" s="710"/>
      <c r="E60" s="711"/>
      <c r="F60" s="711"/>
      <c r="G60" s="711"/>
      <c r="H60" s="711"/>
      <c r="I60" s="711"/>
      <c r="J60" s="711"/>
      <c r="K60" s="711"/>
      <c r="L60" s="712"/>
      <c r="M60" s="711"/>
      <c r="N60" s="713"/>
      <c r="O60" s="714"/>
      <c r="P60" s="714"/>
      <c r="Q60" s="714"/>
    </row>
    <row r="61" spans="1:13" ht="13.5" thickBot="1">
      <c r="A61" s="708"/>
      <c r="B61" s="715"/>
      <c r="C61" s="715"/>
      <c r="D61" s="716"/>
      <c r="E61" s="717"/>
      <c r="F61" s="717"/>
      <c r="G61" s="717"/>
      <c r="H61" s="717"/>
      <c r="I61" s="718"/>
      <c r="J61" s="718"/>
      <c r="K61" s="718"/>
      <c r="L61" s="718"/>
      <c r="M61" s="718"/>
    </row>
    <row r="62" spans="1:17" ht="13.5" thickBot="1">
      <c r="A62" s="1325" t="s">
        <v>702</v>
      </c>
      <c r="B62" s="1325"/>
      <c r="C62" s="1325"/>
      <c r="D62" s="1325"/>
      <c r="E62" s="1325"/>
      <c r="F62" s="1325"/>
      <c r="G62" s="1325"/>
      <c r="H62" s="1325"/>
      <c r="I62" s="1325"/>
      <c r="J62" s="1325"/>
      <c r="K62" s="1325"/>
      <c r="L62" s="1325"/>
      <c r="M62" s="1325"/>
      <c r="N62" s="1325"/>
      <c r="O62" s="678"/>
      <c r="P62" s="678"/>
      <c r="Q62" s="679"/>
    </row>
    <row r="63" spans="1:17" s="715" customFormat="1" ht="25.5" customHeight="1">
      <c r="A63" s="681" t="s">
        <v>703</v>
      </c>
      <c r="B63" s="682" t="s">
        <v>185</v>
      </c>
      <c r="C63" s="682"/>
      <c r="D63" s="682"/>
      <c r="E63" s="682" t="s">
        <v>202</v>
      </c>
      <c r="F63" s="682"/>
      <c r="G63" s="683" t="s">
        <v>203</v>
      </c>
      <c r="H63" s="683" t="s">
        <v>188</v>
      </c>
      <c r="I63" s="682" t="s">
        <v>186</v>
      </c>
      <c r="J63" s="682"/>
      <c r="K63" s="683" t="s">
        <v>187</v>
      </c>
      <c r="L63" s="683" t="s">
        <v>189</v>
      </c>
      <c r="M63" s="683" t="s">
        <v>204</v>
      </c>
      <c r="N63" s="1329" t="s">
        <v>190</v>
      </c>
      <c r="O63" s="719" t="s">
        <v>191</v>
      </c>
      <c r="P63" s="720" t="s">
        <v>192</v>
      </c>
      <c r="Q63" s="721" t="s">
        <v>193</v>
      </c>
    </row>
    <row r="64" spans="1:17" ht="33.75" customHeight="1">
      <c r="A64" s="687" t="s">
        <v>194</v>
      </c>
      <c r="B64" s="683" t="s">
        <v>195</v>
      </c>
      <c r="C64" s="683" t="s">
        <v>196</v>
      </c>
      <c r="D64" s="683" t="s">
        <v>197</v>
      </c>
      <c r="E64" s="683" t="s">
        <v>360</v>
      </c>
      <c r="F64" s="683" t="s">
        <v>151</v>
      </c>
      <c r="G64" s="688"/>
      <c r="H64" s="688"/>
      <c r="I64" s="683" t="s">
        <v>360</v>
      </c>
      <c r="J64" s="683" t="s">
        <v>151</v>
      </c>
      <c r="K64" s="683"/>
      <c r="L64" s="683"/>
      <c r="M64" s="688"/>
      <c r="N64" s="1329"/>
      <c r="O64" s="722"/>
      <c r="P64" s="666"/>
      <c r="Q64" s="723"/>
    </row>
    <row r="65" spans="1:17" ht="12.75">
      <c r="A65" s="691" t="s">
        <v>198</v>
      </c>
      <c r="B65" s="692">
        <f>+C9</f>
        <v>705.432</v>
      </c>
      <c r="C65" s="692">
        <f>+C13</f>
        <v>829</v>
      </c>
      <c r="D65" s="692">
        <f>+C65-B65</f>
        <v>123.56799999999998</v>
      </c>
      <c r="E65" s="693">
        <f>+(C44*C29)*C31</f>
        <v>180221.895</v>
      </c>
      <c r="F65" s="693">
        <f>+E65*B65</f>
        <v>127134291.83364</v>
      </c>
      <c r="G65" s="693">
        <f>+E65*C65</f>
        <v>149403950.95499998</v>
      </c>
      <c r="H65" s="693">
        <f>+G65-F65</f>
        <v>22269659.12135999</v>
      </c>
      <c r="I65" s="693">
        <f>566680+'[1]GRAFICOS LABORATORIOS'!$O$8</f>
        <v>590340</v>
      </c>
      <c r="J65" s="693" t="e">
        <f>+I65*#REF!</f>
        <v>#REF!</v>
      </c>
      <c r="K65" s="693" t="e">
        <f>+I65*#REF!</f>
        <v>#REF!</v>
      </c>
      <c r="L65" s="724">
        <f>+H65/H68</f>
        <v>0.5031262554269342</v>
      </c>
      <c r="M65" s="693" t="e">
        <f>+K65-J65</f>
        <v>#REF!</v>
      </c>
      <c r="N65" s="725">
        <f>+H65/F65</f>
        <v>0.17516642284444134</v>
      </c>
      <c r="O65" s="726">
        <f aca="true" t="shared" si="2" ref="O65:P67">+I65+E65</f>
        <v>770561.895</v>
      </c>
      <c r="P65" s="727" t="e">
        <f t="shared" si="2"/>
        <v>#REF!</v>
      </c>
      <c r="Q65" s="728" t="e">
        <f>+H65+M65</f>
        <v>#REF!</v>
      </c>
    </row>
    <row r="66" spans="1:17" ht="12.75">
      <c r="A66" s="691" t="s">
        <v>199</v>
      </c>
      <c r="B66" s="692">
        <f>+C10</f>
        <v>499.20000000000005</v>
      </c>
      <c r="C66" s="692">
        <f>+C14</f>
        <v>571</v>
      </c>
      <c r="D66" s="692">
        <f>+C66-B66</f>
        <v>71.79999999999995</v>
      </c>
      <c r="E66" s="693">
        <f>+(C44*C29)*C32</f>
        <v>158766.9075</v>
      </c>
      <c r="F66" s="693">
        <f>+E66*B66</f>
        <v>79256440.224</v>
      </c>
      <c r="G66" s="693">
        <f>+E66*C66</f>
        <v>90655904.1825</v>
      </c>
      <c r="H66" s="693">
        <f>+G66-F66</f>
        <v>11399463.958499998</v>
      </c>
      <c r="I66" s="693">
        <f>498075+'[1]GRAFICOS LABORATORIOS'!$O$9</f>
        <v>575650</v>
      </c>
      <c r="J66" s="693" t="e">
        <f>+I66*#REF!</f>
        <v>#REF!</v>
      </c>
      <c r="K66" s="693" t="e">
        <f>+I66*#REF!</f>
        <v>#REF!</v>
      </c>
      <c r="L66" s="724">
        <f>+H66/H68</f>
        <v>0.2575418682459001</v>
      </c>
      <c r="M66" s="693" t="e">
        <f>+K66-J66</f>
        <v>#REF!</v>
      </c>
      <c r="N66" s="725">
        <f>+H66/F66</f>
        <v>0.14383012820512817</v>
      </c>
      <c r="O66" s="726">
        <f t="shared" si="2"/>
        <v>734416.9075</v>
      </c>
      <c r="P66" s="727" t="e">
        <f t="shared" si="2"/>
        <v>#REF!</v>
      </c>
      <c r="Q66" s="728" t="e">
        <f>+H66+M66</f>
        <v>#REF!</v>
      </c>
    </row>
    <row r="67" spans="1:17" ht="12.75">
      <c r="A67" s="681" t="s">
        <v>200</v>
      </c>
      <c r="B67" s="692">
        <f>+C11</f>
        <v>453.44</v>
      </c>
      <c r="C67" s="692">
        <f>+C15</f>
        <v>571</v>
      </c>
      <c r="D67" s="692">
        <f>+C67-B67</f>
        <v>117.56</v>
      </c>
      <c r="E67" s="693">
        <f>+(C44*C29)*C33</f>
        <v>90110.9475</v>
      </c>
      <c r="F67" s="693">
        <f>+E67*B67</f>
        <v>40859908.03439999</v>
      </c>
      <c r="G67" s="693">
        <f>+E67*C67</f>
        <v>51453351.02249999</v>
      </c>
      <c r="H67" s="693">
        <f>+G67-F67</f>
        <v>10593442.9881</v>
      </c>
      <c r="I67" s="693">
        <f>399700+'[1]GRAFICOS LABORATORIOS'!$O$10</f>
        <v>435410</v>
      </c>
      <c r="J67" s="693" t="e">
        <f>+I67*#REF!</f>
        <v>#REF!</v>
      </c>
      <c r="K67" s="693" t="e">
        <f>+I67*#REF!</f>
        <v>#REF!</v>
      </c>
      <c r="L67" s="724">
        <f>+H67/H68</f>
        <v>0.23933187632716568</v>
      </c>
      <c r="M67" s="693" t="e">
        <f>+K67-J67</f>
        <v>#REF!</v>
      </c>
      <c r="N67" s="725">
        <f>+H67/F67</f>
        <v>0.2592625264643614</v>
      </c>
      <c r="O67" s="726">
        <f t="shared" si="2"/>
        <v>525520.9475</v>
      </c>
      <c r="P67" s="727" t="e">
        <f t="shared" si="2"/>
        <v>#REF!</v>
      </c>
      <c r="Q67" s="728" t="e">
        <f>+H67+M67</f>
        <v>#REF!</v>
      </c>
    </row>
    <row r="68" spans="1:17" ht="13.5" thickBot="1">
      <c r="A68" s="700" t="s">
        <v>704</v>
      </c>
      <c r="B68" s="729">
        <f>+(B65+B66+B67)/3</f>
        <v>552.6906666666667</v>
      </c>
      <c r="C68" s="729">
        <f>SUM(C65:C67)/3</f>
        <v>657</v>
      </c>
      <c r="D68" s="729">
        <f>SUM(D65:D67)/3</f>
        <v>104.30933333333331</v>
      </c>
      <c r="E68" s="730">
        <f>SUM(E65:E67)</f>
        <v>429099.75</v>
      </c>
      <c r="F68" s="702">
        <f aca="true" t="shared" si="3" ref="F68:K68">+SUM(F65:F67)</f>
        <v>247250640.09204</v>
      </c>
      <c r="G68" s="702">
        <f t="shared" si="3"/>
        <v>291513206.15999997</v>
      </c>
      <c r="H68" s="702">
        <f t="shared" si="3"/>
        <v>44262566.06795999</v>
      </c>
      <c r="I68" s="702">
        <f t="shared" si="3"/>
        <v>1601400</v>
      </c>
      <c r="J68" s="702" t="e">
        <f t="shared" si="3"/>
        <v>#REF!</v>
      </c>
      <c r="K68" s="702" t="e">
        <f t="shared" si="3"/>
        <v>#REF!</v>
      </c>
      <c r="L68" s="703">
        <f>SUM(L65:L67)</f>
        <v>1</v>
      </c>
      <c r="M68" s="702" t="e">
        <f>+SUM(M65:M67)</f>
        <v>#REF!</v>
      </c>
      <c r="N68" s="731">
        <f>+H68/F68</f>
        <v>0.17901901508316856</v>
      </c>
      <c r="O68" s="732">
        <f>SUM(O65:O67)</f>
        <v>2030499.75</v>
      </c>
      <c r="P68" s="733" t="e">
        <f>SUM(P65:P67)</f>
        <v>#REF!</v>
      </c>
      <c r="Q68" s="734" t="e">
        <f>SUM(Q65:Q67)</f>
        <v>#REF!</v>
      </c>
    </row>
    <row r="69" spans="1:14" ht="12.75">
      <c r="A69" s="735"/>
      <c r="B69" s="736"/>
      <c r="C69" s="736"/>
      <c r="D69" s="735"/>
      <c r="E69" s="735"/>
      <c r="F69" s="735"/>
      <c r="G69" s="735"/>
      <c r="H69" s="735"/>
      <c r="I69" s="735"/>
      <c r="J69" s="735"/>
      <c r="K69" s="735"/>
      <c r="L69" s="735"/>
      <c r="M69" s="735"/>
      <c r="N69" s="737"/>
    </row>
    <row r="70" spans="1:17" ht="13.5" thickBot="1">
      <c r="A70" s="738" t="s">
        <v>705</v>
      </c>
      <c r="B70" s="739"/>
      <c r="C70" s="739"/>
      <c r="D70" s="740"/>
      <c r="E70" s="741">
        <f>+E59+E68</f>
        <v>953555</v>
      </c>
      <c r="F70" s="742">
        <f>+F59+F68</f>
        <v>526681655.98464006</v>
      </c>
      <c r="G70" s="742">
        <f>+G59+G68</f>
        <v>647807124.8</v>
      </c>
      <c r="H70" s="742">
        <f>+H59+H68</f>
        <v>121125468.81535995</v>
      </c>
      <c r="I70" s="742" t="e">
        <f>+#REF!+I68</f>
        <v>#REF!</v>
      </c>
      <c r="J70" s="742" t="e">
        <f>+#REF!+J68</f>
        <v>#REF!</v>
      </c>
      <c r="K70" s="742" t="e">
        <f>+#REF!+K68</f>
        <v>#REF!</v>
      </c>
      <c r="L70" s="742"/>
      <c r="M70" s="742" t="e">
        <f>+#REF!+M68</f>
        <v>#REF!</v>
      </c>
      <c r="N70" s="743">
        <f>(N59+N68)/2</f>
        <v>0.22704417330134802</v>
      </c>
      <c r="O70" s="744" t="e">
        <f>+#REF!+O68</f>
        <v>#REF!</v>
      </c>
      <c r="P70" s="744" t="e">
        <f>+#REF!+P68</f>
        <v>#REF!</v>
      </c>
      <c r="Q70" s="745" t="e">
        <f>+#REF!+Q68</f>
        <v>#REF!</v>
      </c>
    </row>
    <row r="71" spans="4:17" ht="13.5" thickTop="1">
      <c r="D71" s="676"/>
      <c r="E71" s="746"/>
      <c r="F71" s="746"/>
      <c r="G71" s="746"/>
      <c r="H71" s="746"/>
      <c r="I71" s="746"/>
      <c r="J71" s="746"/>
      <c r="K71" s="746"/>
      <c r="L71" s="746"/>
      <c r="M71" s="747"/>
      <c r="N71" s="748"/>
      <c r="O71" s="714"/>
      <c r="P71" s="714"/>
      <c r="Q71" s="749"/>
    </row>
    <row r="72" spans="1:17" ht="12.75">
      <c r="A72" s="750" t="s">
        <v>482</v>
      </c>
      <c r="B72" s="655"/>
      <c r="D72" s="751"/>
      <c r="E72" s="746"/>
      <c r="F72" s="746"/>
      <c r="G72" s="746"/>
      <c r="H72" s="746"/>
      <c r="I72" s="746"/>
      <c r="J72" s="746"/>
      <c r="K72" s="746"/>
      <c r="L72" s="746"/>
      <c r="M72" s="747"/>
      <c r="N72" s="748"/>
      <c r="O72" s="714"/>
      <c r="P72" s="714"/>
      <c r="Q72" s="749"/>
    </row>
    <row r="73" spans="1:17" ht="12.75">
      <c r="A73" s="752"/>
      <c r="D73" s="676"/>
      <c r="E73" s="746"/>
      <c r="F73" s="746"/>
      <c r="G73" s="746"/>
      <c r="H73" s="746"/>
      <c r="I73" s="746"/>
      <c r="J73" s="746"/>
      <c r="K73" s="746"/>
      <c r="L73" s="746"/>
      <c r="M73" s="747"/>
      <c r="N73" s="748"/>
      <c r="O73" s="714"/>
      <c r="P73" s="714"/>
      <c r="Q73" s="749"/>
    </row>
    <row r="74" spans="1:17" ht="12.75">
      <c r="A74" s="1325" t="s">
        <v>701</v>
      </c>
      <c r="B74" s="1325"/>
      <c r="C74" s="1325"/>
      <c r="D74" s="1325"/>
      <c r="E74" s="1325"/>
      <c r="F74" s="1325"/>
      <c r="G74" s="1325"/>
      <c r="H74" s="1325"/>
      <c r="I74" s="1325"/>
      <c r="J74" s="1325"/>
      <c r="K74" s="1325"/>
      <c r="L74" s="1325"/>
      <c r="M74" s="1325"/>
      <c r="N74" s="1325"/>
      <c r="O74" s="714"/>
      <c r="P74" s="714"/>
      <c r="Q74" s="749"/>
    </row>
    <row r="75" spans="1:17" ht="28.5" customHeight="1">
      <c r="A75" s="681" t="s">
        <v>184</v>
      </c>
      <c r="B75" s="682" t="s">
        <v>185</v>
      </c>
      <c r="C75" s="682"/>
      <c r="D75" s="682"/>
      <c r="E75" s="682" t="s">
        <v>186</v>
      </c>
      <c r="F75" s="682"/>
      <c r="G75" s="683" t="s">
        <v>187</v>
      </c>
      <c r="H75" s="683" t="s">
        <v>188</v>
      </c>
      <c r="I75" s="682" t="s">
        <v>186</v>
      </c>
      <c r="J75" s="682"/>
      <c r="K75" s="683" t="s">
        <v>187</v>
      </c>
      <c r="L75" s="683" t="s">
        <v>189</v>
      </c>
      <c r="M75" s="683" t="s">
        <v>188</v>
      </c>
      <c r="N75" s="1329" t="s">
        <v>190</v>
      </c>
      <c r="O75" s="714"/>
      <c r="P75" s="714"/>
      <c r="Q75" s="749"/>
    </row>
    <row r="76" spans="1:17" ht="28.5" customHeight="1">
      <c r="A76" s="687" t="s">
        <v>194</v>
      </c>
      <c r="B76" s="683" t="s">
        <v>195</v>
      </c>
      <c r="C76" s="683" t="s">
        <v>196</v>
      </c>
      <c r="D76" s="683" t="s">
        <v>197</v>
      </c>
      <c r="E76" s="683" t="s">
        <v>360</v>
      </c>
      <c r="F76" s="683" t="s">
        <v>151</v>
      </c>
      <c r="G76" s="688"/>
      <c r="H76" s="688"/>
      <c r="I76" s="683" t="s">
        <v>360</v>
      </c>
      <c r="J76" s="683" t="s">
        <v>151</v>
      </c>
      <c r="K76" s="683"/>
      <c r="L76" s="683"/>
      <c r="M76" s="688"/>
      <c r="N76" s="1329"/>
      <c r="O76" s="714"/>
      <c r="P76" s="714"/>
      <c r="Q76" s="749"/>
    </row>
    <row r="77" spans="1:17" ht="12.75">
      <c r="A77" s="691" t="s">
        <v>198</v>
      </c>
      <c r="B77" s="692">
        <f>+C6</f>
        <v>749.9544000000001</v>
      </c>
      <c r="C77" s="692">
        <f>+C26</f>
        <v>760</v>
      </c>
      <c r="D77" s="692">
        <f>+C77-B77</f>
        <v>10.045599999999922</v>
      </c>
      <c r="E77" s="693">
        <f>+(C42*C35)*C38</f>
        <v>258999.99999999997</v>
      </c>
      <c r="F77" s="693">
        <f>+E77*B77</f>
        <v>194238189.6</v>
      </c>
      <c r="G77" s="693">
        <f>+E77*C77</f>
        <v>196839999.99999997</v>
      </c>
      <c r="H77" s="693">
        <f>+G77-F77</f>
        <v>2601810.399999976</v>
      </c>
      <c r="I77" s="693">
        <f>410990+'[1]GRAFICOS LABORATORIOS'!$G$8</f>
        <v>494740</v>
      </c>
      <c r="J77" s="693" t="e">
        <f>+I77*#REF!</f>
        <v>#REF!</v>
      </c>
      <c r="K77" s="693" t="e">
        <f>+I77*#REF!</f>
        <v>#REF!</v>
      </c>
      <c r="L77" s="694">
        <f>+H77/H80</f>
        <v>1</v>
      </c>
      <c r="M77" s="693" t="e">
        <f>+K77-J77</f>
        <v>#REF!</v>
      </c>
      <c r="N77" s="695">
        <f>+H77/F77</f>
        <v>0.013394947746156178</v>
      </c>
      <c r="O77" s="714"/>
      <c r="P77" s="714"/>
      <c r="Q77" s="749"/>
    </row>
    <row r="78" spans="1:17" ht="12.75">
      <c r="A78" s="691" t="s">
        <v>199</v>
      </c>
      <c r="B78" s="692">
        <f>+C7</f>
        <v>375.55440000000004</v>
      </c>
      <c r="C78" s="692">
        <f>+C26</f>
        <v>760</v>
      </c>
      <c r="D78" s="692">
        <f>+C78-B78</f>
        <v>384.44559999999996</v>
      </c>
      <c r="E78" s="693">
        <f>+(C42*C35)*C39</f>
        <v>0</v>
      </c>
      <c r="F78" s="693">
        <f>+E78*B78</f>
        <v>0</v>
      </c>
      <c r="G78" s="693">
        <f>+E78*C77</f>
        <v>0</v>
      </c>
      <c r="H78" s="693">
        <f>+G78-F78</f>
        <v>0</v>
      </c>
      <c r="I78" s="693">
        <f>540700+'[1]GRAFICOS LABORATORIOS'!$G$9</f>
        <v>540700</v>
      </c>
      <c r="J78" s="693" t="e">
        <f>+I78*#REF!</f>
        <v>#REF!</v>
      </c>
      <c r="K78" s="693" t="e">
        <f>+I78*#REF!</f>
        <v>#REF!</v>
      </c>
      <c r="L78" s="694">
        <f>+H78/H80</f>
        <v>0</v>
      </c>
      <c r="M78" s="693" t="e">
        <f>+K78-J78</f>
        <v>#REF!</v>
      </c>
      <c r="N78" s="695"/>
      <c r="O78" s="714"/>
      <c r="P78" s="714"/>
      <c r="Q78" s="749"/>
    </row>
    <row r="79" spans="1:17" ht="12.75">
      <c r="A79" s="691" t="s">
        <v>200</v>
      </c>
      <c r="B79" s="692">
        <f>+C8</f>
        <v>375.55440000000004</v>
      </c>
      <c r="C79" s="692">
        <f>+C26</f>
        <v>760</v>
      </c>
      <c r="D79" s="692">
        <f>+C79-B79</f>
        <v>384.44559999999996</v>
      </c>
      <c r="E79" s="693">
        <f>+(C42*C35)*C40</f>
        <v>0</v>
      </c>
      <c r="F79" s="693">
        <f>+E79*B79</f>
        <v>0</v>
      </c>
      <c r="G79" s="693">
        <f>+E79*C78</f>
        <v>0</v>
      </c>
      <c r="H79" s="693">
        <f>+G79-F79</f>
        <v>0</v>
      </c>
      <c r="I79" s="693">
        <f>267650+'[1]GRAFICOS LABORATORIOS'!$G$10</f>
        <v>307550</v>
      </c>
      <c r="J79" s="693" t="e">
        <f>+I79*#REF!</f>
        <v>#REF!</v>
      </c>
      <c r="K79" s="693" t="e">
        <f>+I79*#REF!</f>
        <v>#REF!</v>
      </c>
      <c r="L79" s="694">
        <f>+H79/H80</f>
        <v>0</v>
      </c>
      <c r="M79" s="693" t="e">
        <f>+K79-J79</f>
        <v>#REF!</v>
      </c>
      <c r="N79" s="695"/>
      <c r="O79" s="714"/>
      <c r="P79" s="714"/>
      <c r="Q79" s="749"/>
    </row>
    <row r="80" spans="1:17" ht="12.75">
      <c r="A80" s="700" t="s">
        <v>201</v>
      </c>
      <c r="B80" s="729">
        <f>+(B77+B78+B79)/3</f>
        <v>500.3544</v>
      </c>
      <c r="C80" s="729">
        <f>SUM(C77:C79)/3</f>
        <v>760</v>
      </c>
      <c r="D80" s="729">
        <f>SUM(D77:D79)/3</f>
        <v>259.64559999999994</v>
      </c>
      <c r="E80" s="702">
        <f>SUM(E77:E79)</f>
        <v>258999.99999999997</v>
      </c>
      <c r="F80" s="702">
        <f aca="true" t="shared" si="4" ref="F80:K80">+SUM(F77:F79)</f>
        <v>194238189.6</v>
      </c>
      <c r="G80" s="702">
        <f t="shared" si="4"/>
        <v>196839999.99999997</v>
      </c>
      <c r="H80" s="702">
        <f t="shared" si="4"/>
        <v>2601810.399999976</v>
      </c>
      <c r="I80" s="702">
        <f t="shared" si="4"/>
        <v>1342990</v>
      </c>
      <c r="J80" s="702" t="e">
        <f t="shared" si="4"/>
        <v>#REF!</v>
      </c>
      <c r="K80" s="702" t="e">
        <f t="shared" si="4"/>
        <v>#REF!</v>
      </c>
      <c r="L80" s="703">
        <f>SUM(L77:L79)</f>
        <v>1</v>
      </c>
      <c r="M80" s="702" t="e">
        <f>+SUM(M77:M79)</f>
        <v>#REF!</v>
      </c>
      <c r="N80" s="704">
        <f>+H80/F80</f>
        <v>0.013394947746156178</v>
      </c>
      <c r="O80" s="714"/>
      <c r="P80" s="714"/>
      <c r="Q80" s="749"/>
    </row>
    <row r="81" spans="1:17" ht="12.75">
      <c r="A81" s="708"/>
      <c r="B81" s="709"/>
      <c r="C81" s="710"/>
      <c r="D81" s="710"/>
      <c r="E81" s="711"/>
      <c r="F81" s="711"/>
      <c r="G81" s="711"/>
      <c r="H81" s="711"/>
      <c r="I81" s="711"/>
      <c r="J81" s="711"/>
      <c r="K81" s="711"/>
      <c r="L81" s="712"/>
      <c r="M81" s="711"/>
      <c r="N81" s="713"/>
      <c r="O81" s="714"/>
      <c r="P81" s="714"/>
      <c r="Q81" s="749"/>
    </row>
    <row r="82" spans="1:17" ht="12.75">
      <c r="A82" s="708"/>
      <c r="B82" s="715"/>
      <c r="C82" s="715"/>
      <c r="D82" s="716"/>
      <c r="E82" s="717"/>
      <c r="F82" s="717"/>
      <c r="G82" s="717"/>
      <c r="H82" s="717"/>
      <c r="I82" s="718"/>
      <c r="J82" s="718"/>
      <c r="K82" s="718"/>
      <c r="L82" s="718"/>
      <c r="M82" s="718"/>
      <c r="O82" s="714"/>
      <c r="P82" s="714"/>
      <c r="Q82" s="749"/>
    </row>
    <row r="83" spans="1:17" ht="12.75">
      <c r="A83" s="1325" t="s">
        <v>706</v>
      </c>
      <c r="B83" s="1325"/>
      <c r="C83" s="1325"/>
      <c r="D83" s="1325"/>
      <c r="E83" s="1325"/>
      <c r="F83" s="1325"/>
      <c r="G83" s="1325"/>
      <c r="H83" s="1325"/>
      <c r="I83" s="1325"/>
      <c r="J83" s="1325"/>
      <c r="K83" s="1325"/>
      <c r="L83" s="1325"/>
      <c r="M83" s="1325"/>
      <c r="N83" s="1325"/>
      <c r="O83" s="714"/>
      <c r="P83" s="714"/>
      <c r="Q83" s="749"/>
    </row>
    <row r="84" spans="1:17" ht="25.5">
      <c r="A84" s="681" t="s">
        <v>703</v>
      </c>
      <c r="B84" s="682" t="s">
        <v>185</v>
      </c>
      <c r="C84" s="682"/>
      <c r="D84" s="682"/>
      <c r="E84" s="682" t="s">
        <v>202</v>
      </c>
      <c r="F84" s="682"/>
      <c r="G84" s="683" t="s">
        <v>203</v>
      </c>
      <c r="H84" s="683" t="s">
        <v>188</v>
      </c>
      <c r="I84" s="682" t="s">
        <v>186</v>
      </c>
      <c r="J84" s="682"/>
      <c r="K84" s="683" t="s">
        <v>187</v>
      </c>
      <c r="L84" s="683" t="s">
        <v>189</v>
      </c>
      <c r="M84" s="683" t="s">
        <v>204</v>
      </c>
      <c r="N84" s="1329" t="s">
        <v>190</v>
      </c>
      <c r="O84" s="714"/>
      <c r="P84" s="714"/>
      <c r="Q84" s="749"/>
    </row>
    <row r="85" spans="1:17" ht="25.5">
      <c r="A85" s="687" t="s">
        <v>194</v>
      </c>
      <c r="B85" s="683" t="s">
        <v>195</v>
      </c>
      <c r="C85" s="683" t="s">
        <v>196</v>
      </c>
      <c r="D85" s="683" t="s">
        <v>197</v>
      </c>
      <c r="E85" s="683" t="s">
        <v>360</v>
      </c>
      <c r="F85" s="683" t="s">
        <v>151</v>
      </c>
      <c r="G85" s="688"/>
      <c r="H85" s="688"/>
      <c r="I85" s="683" t="s">
        <v>360</v>
      </c>
      <c r="J85" s="683" t="s">
        <v>151</v>
      </c>
      <c r="K85" s="683"/>
      <c r="L85" s="683"/>
      <c r="M85" s="688"/>
      <c r="N85" s="1329"/>
      <c r="O85" s="714"/>
      <c r="P85" s="714"/>
      <c r="Q85" s="749"/>
    </row>
    <row r="86" spans="1:17" ht="12.75">
      <c r="A86" s="691" t="s">
        <v>198</v>
      </c>
      <c r="B86" s="692">
        <f>+C9</f>
        <v>705.432</v>
      </c>
      <c r="C86" s="692">
        <f>+C26</f>
        <v>760</v>
      </c>
      <c r="D86" s="692">
        <f>+C86-B86</f>
        <v>54.567999999999984</v>
      </c>
      <c r="E86" s="693">
        <f>+(C42*C36)*C38</f>
        <v>111000</v>
      </c>
      <c r="F86" s="693">
        <f>+E86*B86</f>
        <v>78302952</v>
      </c>
      <c r="G86" s="693">
        <f>+E86*C86</f>
        <v>84360000</v>
      </c>
      <c r="H86" s="693">
        <f>+G86-F86</f>
        <v>6057048</v>
      </c>
      <c r="I86" s="693">
        <f>566680+'[1]GRAFICOS LABORATORIOS'!$O$8</f>
        <v>590340</v>
      </c>
      <c r="J86" s="693" t="e">
        <f>+I86*#REF!</f>
        <v>#REF!</v>
      </c>
      <c r="K86" s="693" t="e">
        <f>+I86*#REF!</f>
        <v>#REF!</v>
      </c>
      <c r="L86" s="724">
        <f>+H86/H89</f>
        <v>1</v>
      </c>
      <c r="M86" s="693" t="e">
        <f>+K86-J86</f>
        <v>#REF!</v>
      </c>
      <c r="N86" s="725">
        <f>+H86/F86</f>
        <v>0.07735401853048912</v>
      </c>
      <c r="O86" s="714"/>
      <c r="P86" s="714"/>
      <c r="Q86" s="749"/>
    </row>
    <row r="87" spans="1:17" ht="12.75">
      <c r="A87" s="691" t="s">
        <v>199</v>
      </c>
      <c r="B87" s="692">
        <f>+C10</f>
        <v>499.20000000000005</v>
      </c>
      <c r="C87" s="692">
        <f>+C26</f>
        <v>760</v>
      </c>
      <c r="D87" s="692">
        <f>+C87-B87</f>
        <v>260.79999999999995</v>
      </c>
      <c r="E87" s="693">
        <f>+(C42*C36)*C39</f>
        <v>0</v>
      </c>
      <c r="F87" s="693">
        <f>+E87*B87</f>
        <v>0</v>
      </c>
      <c r="G87" s="693">
        <f>+E87*C87</f>
        <v>0</v>
      </c>
      <c r="H87" s="693">
        <f>+G87-F87</f>
        <v>0</v>
      </c>
      <c r="I87" s="693">
        <f>498075+'[1]GRAFICOS LABORATORIOS'!$O$9</f>
        <v>575650</v>
      </c>
      <c r="J87" s="693" t="e">
        <f>+I87*#REF!</f>
        <v>#REF!</v>
      </c>
      <c r="K87" s="693" t="e">
        <f>+I87*#REF!</f>
        <v>#REF!</v>
      </c>
      <c r="L87" s="724">
        <f>+H87/H89</f>
        <v>0</v>
      </c>
      <c r="M87" s="693" t="e">
        <f>+K87-J87</f>
        <v>#REF!</v>
      </c>
      <c r="N87" s="725"/>
      <c r="O87" s="714"/>
      <c r="P87" s="714"/>
      <c r="Q87" s="749"/>
    </row>
    <row r="88" spans="1:17" ht="12.75">
      <c r="A88" s="691" t="s">
        <v>200</v>
      </c>
      <c r="B88" s="692">
        <f>+C11</f>
        <v>453.44</v>
      </c>
      <c r="C88" s="692">
        <f>+C26</f>
        <v>760</v>
      </c>
      <c r="D88" s="692">
        <f>+C88-B88</f>
        <v>306.56</v>
      </c>
      <c r="E88" s="693">
        <f>+(C42*C36)*C40</f>
        <v>0</v>
      </c>
      <c r="F88" s="693">
        <f>+E88*B88</f>
        <v>0</v>
      </c>
      <c r="G88" s="693">
        <f>+E88*C88</f>
        <v>0</v>
      </c>
      <c r="H88" s="693">
        <f>+G88-F88</f>
        <v>0</v>
      </c>
      <c r="I88" s="693">
        <f>399700+'[1]GRAFICOS LABORATORIOS'!$O$10</f>
        <v>435410</v>
      </c>
      <c r="J88" s="693" t="e">
        <f>+I88*#REF!</f>
        <v>#REF!</v>
      </c>
      <c r="K88" s="693" t="e">
        <f>+I88*#REF!</f>
        <v>#REF!</v>
      </c>
      <c r="L88" s="724">
        <f>+H88/H89</f>
        <v>0</v>
      </c>
      <c r="M88" s="693" t="e">
        <f>+K88-J88</f>
        <v>#REF!</v>
      </c>
      <c r="N88" s="725"/>
      <c r="O88" s="714"/>
      <c r="P88" s="714"/>
      <c r="Q88" s="749"/>
    </row>
    <row r="89" spans="1:17" ht="13.5" thickBot="1">
      <c r="A89" s="753" t="s">
        <v>704</v>
      </c>
      <c r="B89" s="754">
        <f>+(B86+B87+B88)/3</f>
        <v>552.6906666666667</v>
      </c>
      <c r="C89" s="754">
        <f>SUM(C86:C88)/3</f>
        <v>760</v>
      </c>
      <c r="D89" s="754">
        <f>SUM(D86:D88)/3</f>
        <v>207.30933333333329</v>
      </c>
      <c r="E89" s="755">
        <f>SUM(E86:E88)</f>
        <v>111000</v>
      </c>
      <c r="F89" s="756">
        <f aca="true" t="shared" si="5" ref="F89:K89">+SUM(F86:F88)</f>
        <v>78302952</v>
      </c>
      <c r="G89" s="756">
        <f t="shared" si="5"/>
        <v>84360000</v>
      </c>
      <c r="H89" s="757">
        <f t="shared" si="5"/>
        <v>6057048</v>
      </c>
      <c r="I89" s="758">
        <f t="shared" si="5"/>
        <v>1601400</v>
      </c>
      <c r="J89" s="756" t="e">
        <f t="shared" si="5"/>
        <v>#REF!</v>
      </c>
      <c r="K89" s="757" t="e">
        <f t="shared" si="5"/>
        <v>#REF!</v>
      </c>
      <c r="L89" s="759">
        <f>SUM(L86:L88)</f>
        <v>1</v>
      </c>
      <c r="M89" s="760" t="e">
        <f>+SUM(M86:M88)</f>
        <v>#REF!</v>
      </c>
      <c r="N89" s="761">
        <f>+H89/F89</f>
        <v>0.07735401853048912</v>
      </c>
      <c r="O89" s="714"/>
      <c r="P89" s="714"/>
      <c r="Q89" s="749"/>
    </row>
    <row r="90" spans="2:17" ht="12.75">
      <c r="B90" s="762"/>
      <c r="C90" s="762"/>
      <c r="O90" s="714"/>
      <c r="P90" s="714"/>
      <c r="Q90" s="749"/>
    </row>
    <row r="91" spans="1:17" ht="12.75">
      <c r="A91" s="763" t="s">
        <v>705</v>
      </c>
      <c r="B91" s="764"/>
      <c r="C91" s="765"/>
      <c r="D91" s="766"/>
      <c r="E91" s="767">
        <f>+E80+E89</f>
        <v>370000</v>
      </c>
      <c r="F91" s="767">
        <f>+F80+F89</f>
        <v>272541141.6</v>
      </c>
      <c r="G91" s="767">
        <f>+G80+G89</f>
        <v>281200000</v>
      </c>
      <c r="H91" s="767">
        <f>+H80+H89</f>
        <v>8658858.399999976</v>
      </c>
      <c r="I91" s="767" t="e">
        <f>+#REF!+I89</f>
        <v>#REF!</v>
      </c>
      <c r="J91" s="767" t="e">
        <f>+#REF!+J89</f>
        <v>#REF!</v>
      </c>
      <c r="K91" s="767" t="e">
        <f>+#REF!+K89</f>
        <v>#REF!</v>
      </c>
      <c r="L91" s="767"/>
      <c r="M91" s="767" t="e">
        <f>+#REF!+M89</f>
        <v>#REF!</v>
      </c>
      <c r="N91" s="768">
        <f>(N80+N89)/2</f>
        <v>0.04537448313832265</v>
      </c>
      <c r="O91" s="714"/>
      <c r="P91" s="714"/>
      <c r="Q91" s="749"/>
    </row>
    <row r="92" spans="4:17" ht="12.75">
      <c r="D92" s="676"/>
      <c r="E92" s="746"/>
      <c r="F92" s="746"/>
      <c r="G92" s="746"/>
      <c r="H92" s="746"/>
      <c r="I92" s="746"/>
      <c r="J92" s="746"/>
      <c r="K92" s="746"/>
      <c r="L92" s="746"/>
      <c r="M92" s="747"/>
      <c r="N92" s="748"/>
      <c r="O92" s="714"/>
      <c r="P92" s="714"/>
      <c r="Q92" s="749"/>
    </row>
    <row r="93" spans="1:17" ht="12.75">
      <c r="A93" s="750" t="s">
        <v>505</v>
      </c>
      <c r="D93" s="676"/>
      <c r="E93" s="746"/>
      <c r="F93" s="746"/>
      <c r="G93" s="746"/>
      <c r="H93" s="746"/>
      <c r="I93" s="746"/>
      <c r="J93" s="746"/>
      <c r="K93" s="746"/>
      <c r="L93" s="746"/>
      <c r="M93" s="747"/>
      <c r="N93" s="748"/>
      <c r="O93" s="714"/>
      <c r="P93" s="714"/>
      <c r="Q93" s="749"/>
    </row>
    <row r="94" spans="1:17" ht="12.75">
      <c r="A94" s="752"/>
      <c r="D94" s="676"/>
      <c r="E94" s="746"/>
      <c r="F94" s="746"/>
      <c r="G94" s="746"/>
      <c r="H94" s="746"/>
      <c r="I94" s="746"/>
      <c r="J94" s="746"/>
      <c r="K94" s="746"/>
      <c r="L94" s="746"/>
      <c r="M94" s="747"/>
      <c r="N94" s="748"/>
      <c r="O94" s="714"/>
      <c r="P94" s="714"/>
      <c r="Q94" s="749"/>
    </row>
    <row r="95" spans="1:17" ht="12.75">
      <c r="A95" s="1325" t="s">
        <v>707</v>
      </c>
      <c r="B95" s="1325"/>
      <c r="C95" s="1325"/>
      <c r="D95" s="1325"/>
      <c r="E95" s="1325"/>
      <c r="F95" s="1325"/>
      <c r="G95" s="1325"/>
      <c r="H95" s="1325"/>
      <c r="I95" s="746"/>
      <c r="J95" s="746"/>
      <c r="K95" s="746"/>
      <c r="L95" s="746"/>
      <c r="M95" s="747"/>
      <c r="N95" s="769"/>
      <c r="O95" s="714"/>
      <c r="P95" s="714"/>
      <c r="Q95" s="749"/>
    </row>
    <row r="96" spans="1:17" ht="26.25" thickBot="1">
      <c r="A96" s="681" t="s">
        <v>184</v>
      </c>
      <c r="B96" s="682" t="s">
        <v>185</v>
      </c>
      <c r="C96" s="682"/>
      <c r="D96" s="682"/>
      <c r="E96" s="682" t="s">
        <v>202</v>
      </c>
      <c r="F96" s="682"/>
      <c r="G96" s="1326" t="s">
        <v>203</v>
      </c>
      <c r="H96" s="1326" t="s">
        <v>188</v>
      </c>
      <c r="I96" s="770" t="s">
        <v>186</v>
      </c>
      <c r="J96" s="771"/>
      <c r="K96" s="772" t="s">
        <v>187</v>
      </c>
      <c r="L96" s="773"/>
      <c r="M96" s="773"/>
      <c r="N96" s="1330"/>
      <c r="O96" s="714"/>
      <c r="P96" s="714"/>
      <c r="Q96" s="749"/>
    </row>
    <row r="97" spans="1:17" ht="26.25" thickBot="1">
      <c r="A97" s="687" t="s">
        <v>194</v>
      </c>
      <c r="B97" s="683" t="s">
        <v>195</v>
      </c>
      <c r="C97" s="683" t="s">
        <v>196</v>
      </c>
      <c r="D97" s="683" t="s">
        <v>197</v>
      </c>
      <c r="E97" s="683" t="s">
        <v>360</v>
      </c>
      <c r="F97" s="683" t="s">
        <v>151</v>
      </c>
      <c r="G97" s="1326"/>
      <c r="H97" s="1326"/>
      <c r="I97" s="774" t="s">
        <v>360</v>
      </c>
      <c r="J97" s="775" t="s">
        <v>151</v>
      </c>
      <c r="K97" s="776"/>
      <c r="L97" s="773"/>
      <c r="M97" s="777"/>
      <c r="N97" s="1330"/>
      <c r="O97" s="714"/>
      <c r="P97" s="714"/>
      <c r="Q97" s="749"/>
    </row>
    <row r="98" spans="1:17" ht="13.5" thickBot="1">
      <c r="A98" s="778" t="s">
        <v>198</v>
      </c>
      <c r="B98" s="779">
        <f>+C6</f>
        <v>749.9544000000001</v>
      </c>
      <c r="C98" s="779">
        <v>0</v>
      </c>
      <c r="D98" s="779">
        <f>+C98-B98</f>
        <v>-749.9544000000001</v>
      </c>
      <c r="E98" s="780">
        <f>+(C43*C35)*C38</f>
        <v>245699.99999999997</v>
      </c>
      <c r="F98" s="780">
        <f>+E98*B98</f>
        <v>184263796.07999998</v>
      </c>
      <c r="G98" s="780">
        <f>+E98*C98</f>
        <v>0</v>
      </c>
      <c r="H98" s="780"/>
      <c r="I98" s="781">
        <f>566680+'[1]GRAFICOS LABORATORIOS'!$O$8</f>
        <v>590340</v>
      </c>
      <c r="J98" s="782" t="e">
        <f>+I98*#REF!</f>
        <v>#REF!</v>
      </c>
      <c r="K98" s="783" t="e">
        <f>+I98*#REF!</f>
        <v>#REF!</v>
      </c>
      <c r="L98" s="784"/>
      <c r="M98" s="785"/>
      <c r="N98" s="786"/>
      <c r="O98" s="714"/>
      <c r="P98" s="714"/>
      <c r="Q98" s="749"/>
    </row>
    <row r="99" spans="1:17" ht="13.5" thickBot="1">
      <c r="A99" s="787" t="s">
        <v>201</v>
      </c>
      <c r="B99" s="788">
        <f>SUM(B98)</f>
        <v>749.9544000000001</v>
      </c>
      <c r="C99" s="788">
        <f>SUM(C98:C98)/3</f>
        <v>0</v>
      </c>
      <c r="D99" s="788">
        <f>SUM(D98)</f>
        <v>-749.9544000000001</v>
      </c>
      <c r="E99" s="789">
        <f>SUM(E98)</f>
        <v>245699.99999999997</v>
      </c>
      <c r="F99" s="788">
        <f>SUM(F98)</f>
        <v>184263796.07999998</v>
      </c>
      <c r="G99" s="788">
        <f>SUM(G98:G98)/3</f>
        <v>0</v>
      </c>
      <c r="H99" s="788">
        <f>SUM(H98:H98)/3</f>
        <v>0</v>
      </c>
      <c r="I99" s="790">
        <f>SUM(I98:I98)/3</f>
        <v>196780</v>
      </c>
      <c r="J99" s="791" t="e">
        <f>SUM(J98:J98)/3</f>
        <v>#REF!</v>
      </c>
      <c r="K99" s="792" t="e">
        <f>SUM(K98:K98)/3</f>
        <v>#REF!</v>
      </c>
      <c r="L99" s="793"/>
      <c r="M99" s="793"/>
      <c r="N99" s="793"/>
      <c r="O99" s="714"/>
      <c r="P99" s="714"/>
      <c r="Q99" s="749"/>
    </row>
    <row r="100" spans="1:17" ht="12.75">
      <c r="A100" s="794"/>
      <c r="B100" s="795"/>
      <c r="C100" s="795"/>
      <c r="D100" s="736"/>
      <c r="E100" s="746"/>
      <c r="F100" s="746"/>
      <c r="G100" s="746"/>
      <c r="H100" s="746"/>
      <c r="I100" s="746"/>
      <c r="J100" s="746"/>
      <c r="K100" s="746"/>
      <c r="L100" s="746"/>
      <c r="M100" s="747"/>
      <c r="N100" s="748"/>
      <c r="O100" s="714"/>
      <c r="P100" s="714"/>
      <c r="Q100" s="749"/>
    </row>
    <row r="101" spans="1:17" ht="12.75">
      <c r="A101" s="1325" t="s">
        <v>708</v>
      </c>
      <c r="B101" s="1325"/>
      <c r="C101" s="1325"/>
      <c r="D101" s="1325"/>
      <c r="E101" s="1325"/>
      <c r="F101" s="1325"/>
      <c r="G101" s="1325"/>
      <c r="H101" s="1325"/>
      <c r="I101" s="746"/>
      <c r="J101" s="746"/>
      <c r="K101" s="746"/>
      <c r="L101" s="746"/>
      <c r="M101" s="747"/>
      <c r="N101" s="748"/>
      <c r="O101" s="714"/>
      <c r="P101" s="714"/>
      <c r="Q101" s="749"/>
    </row>
    <row r="102" spans="1:17" ht="12.75">
      <c r="A102" s="681" t="s">
        <v>703</v>
      </c>
      <c r="B102" s="682" t="s">
        <v>185</v>
      </c>
      <c r="C102" s="682"/>
      <c r="D102" s="682"/>
      <c r="E102" s="682" t="s">
        <v>202</v>
      </c>
      <c r="F102" s="682"/>
      <c r="G102" s="1326" t="s">
        <v>203</v>
      </c>
      <c r="H102" s="1326" t="s">
        <v>188</v>
      </c>
      <c r="I102" s="746"/>
      <c r="J102" s="746"/>
      <c r="K102" s="746"/>
      <c r="L102" s="746"/>
      <c r="M102" s="747"/>
      <c r="N102" s="748"/>
      <c r="O102" s="714"/>
      <c r="P102" s="714"/>
      <c r="Q102" s="749"/>
    </row>
    <row r="103" spans="1:17" ht="25.5">
      <c r="A103" s="687" t="s">
        <v>194</v>
      </c>
      <c r="B103" s="683" t="s">
        <v>195</v>
      </c>
      <c r="C103" s="683" t="s">
        <v>196</v>
      </c>
      <c r="D103" s="683" t="s">
        <v>197</v>
      </c>
      <c r="E103" s="683" t="s">
        <v>360</v>
      </c>
      <c r="F103" s="683" t="s">
        <v>151</v>
      </c>
      <c r="G103" s="1326"/>
      <c r="H103" s="1326"/>
      <c r="I103" s="746"/>
      <c r="J103" s="746"/>
      <c r="K103" s="746"/>
      <c r="L103" s="746"/>
      <c r="M103" s="747"/>
      <c r="N103" s="748"/>
      <c r="O103" s="714"/>
      <c r="P103" s="714"/>
      <c r="Q103" s="749"/>
    </row>
    <row r="104" spans="1:17" ht="12.75">
      <c r="A104" s="691" t="s">
        <v>198</v>
      </c>
      <c r="B104" s="796">
        <f>+C9</f>
        <v>705.432</v>
      </c>
      <c r="C104" s="796">
        <v>0</v>
      </c>
      <c r="D104" s="796">
        <f>+C104-B104</f>
        <v>-705.432</v>
      </c>
      <c r="E104" s="797">
        <f>+(C43*C36)*C38</f>
        <v>105300</v>
      </c>
      <c r="F104" s="797">
        <f>+E104*B104</f>
        <v>74281989.60000001</v>
      </c>
      <c r="G104" s="797">
        <f>+E104*C104</f>
        <v>0</v>
      </c>
      <c r="H104" s="797"/>
      <c r="I104" s="746"/>
      <c r="J104" s="746"/>
      <c r="K104" s="746"/>
      <c r="L104" s="746"/>
      <c r="M104" s="747"/>
      <c r="N104" s="748"/>
      <c r="O104" s="714"/>
      <c r="P104" s="714"/>
      <c r="Q104" s="749"/>
    </row>
    <row r="105" spans="1:17" ht="12.75">
      <c r="A105" s="700" t="s">
        <v>704</v>
      </c>
      <c r="B105" s="798">
        <f>SUM(B104)</f>
        <v>705.432</v>
      </c>
      <c r="C105" s="798">
        <f>SUM(C104:C104)/3</f>
        <v>0</v>
      </c>
      <c r="D105" s="798">
        <f>SUM(D104)</f>
        <v>-705.432</v>
      </c>
      <c r="E105" s="799">
        <f>SUM(E104)</f>
        <v>105300</v>
      </c>
      <c r="F105" s="798">
        <f>SUM(F104)</f>
        <v>74281989.60000001</v>
      </c>
      <c r="G105" s="798">
        <f>SUM(G104:G104)/3</f>
        <v>0</v>
      </c>
      <c r="H105" s="798">
        <f>SUM(H104:H104)/3</f>
        <v>0</v>
      </c>
      <c r="I105" s="746"/>
      <c r="J105" s="746"/>
      <c r="K105" s="746"/>
      <c r="L105" s="746"/>
      <c r="M105" s="747"/>
      <c r="N105" s="748"/>
      <c r="O105" s="714"/>
      <c r="P105" s="714"/>
      <c r="Q105" s="749"/>
    </row>
    <row r="106" spans="1:17" ht="12.75">
      <c r="A106" s="752"/>
      <c r="B106" s="735"/>
      <c r="D106" s="676"/>
      <c r="E106" s="746"/>
      <c r="F106" s="746"/>
      <c r="G106" s="746"/>
      <c r="H106" s="746"/>
      <c r="I106" s="746"/>
      <c r="J106" s="746"/>
      <c r="K106" s="746"/>
      <c r="L106" s="746"/>
      <c r="M106" s="747"/>
      <c r="N106" s="748"/>
      <c r="O106" s="714"/>
      <c r="P106" s="714"/>
      <c r="Q106" s="749"/>
    </row>
    <row r="107" spans="1:17" ht="12.75">
      <c r="A107" s="800" t="s">
        <v>709</v>
      </c>
      <c r="B107" s="801"/>
      <c r="C107" s="801"/>
      <c r="D107" s="802"/>
      <c r="E107" s="803">
        <f>+E99+E105</f>
        <v>351000</v>
      </c>
      <c r="F107" s="804">
        <f>+F99+F105</f>
        <v>258545785.68</v>
      </c>
      <c r="G107" s="803"/>
      <c r="H107" s="803"/>
      <c r="I107" s="746"/>
      <c r="J107" s="746"/>
      <c r="K107" s="746"/>
      <c r="L107" s="746"/>
      <c r="M107" s="747"/>
      <c r="N107" s="748"/>
      <c r="O107" s="714"/>
      <c r="P107" s="714"/>
      <c r="Q107" s="749"/>
    </row>
    <row r="108" spans="1:17" ht="12.75">
      <c r="A108" s="752"/>
      <c r="B108" s="735"/>
      <c r="D108" s="676"/>
      <c r="E108" s="746"/>
      <c r="F108" s="746"/>
      <c r="G108" s="746"/>
      <c r="H108" s="746"/>
      <c r="I108" s="746"/>
      <c r="J108" s="746"/>
      <c r="K108" s="746"/>
      <c r="L108" s="746"/>
      <c r="M108" s="747"/>
      <c r="N108" s="748"/>
      <c r="O108" s="714"/>
      <c r="P108" s="714"/>
      <c r="Q108" s="749"/>
    </row>
    <row r="109" spans="1:17" ht="12.75">
      <c r="A109" s="805" t="s">
        <v>367</v>
      </c>
      <c r="B109" s="806"/>
      <c r="C109" s="806"/>
      <c r="D109" s="807"/>
      <c r="E109" s="808">
        <f>+E107+E91+E70</f>
        <v>1674555</v>
      </c>
      <c r="F109" s="808">
        <f>+F107+F91+F70</f>
        <v>1057768583.2646401</v>
      </c>
      <c r="G109" s="808">
        <f>+G107+G91+G70</f>
        <v>929007124.8</v>
      </c>
      <c r="H109" s="808">
        <f>+H107+H91+H70</f>
        <v>129784327.21535993</v>
      </c>
      <c r="I109" s="746"/>
      <c r="J109" s="746"/>
      <c r="K109" s="746"/>
      <c r="L109" s="746"/>
      <c r="M109" s="747"/>
      <c r="N109" s="748"/>
      <c r="O109" s="714"/>
      <c r="P109" s="714"/>
      <c r="Q109" s="749"/>
    </row>
    <row r="110" spans="1:17" ht="12.75">
      <c r="A110" s="752"/>
      <c r="D110" s="676"/>
      <c r="E110" s="746"/>
      <c r="F110" s="746"/>
      <c r="G110" s="746"/>
      <c r="H110" s="746"/>
      <c r="I110" s="746"/>
      <c r="J110" s="746"/>
      <c r="K110" s="746"/>
      <c r="L110" s="746"/>
      <c r="M110" s="747"/>
      <c r="N110" s="748"/>
      <c r="O110" s="714"/>
      <c r="P110" s="714"/>
      <c r="Q110" s="749"/>
    </row>
    <row r="111" spans="1:17" ht="12.75">
      <c r="A111" s="735"/>
      <c r="D111" s="676"/>
      <c r="E111" s="746"/>
      <c r="F111" s="746"/>
      <c r="G111" s="746"/>
      <c r="H111" s="746"/>
      <c r="I111" s="746"/>
      <c r="J111" s="746"/>
      <c r="K111" s="746"/>
      <c r="L111" s="746"/>
      <c r="M111" s="747"/>
      <c r="N111" s="748"/>
      <c r="O111" s="714"/>
      <c r="P111" s="714"/>
      <c r="Q111" s="749"/>
    </row>
    <row r="112" spans="1:20" ht="12.75">
      <c r="A112" s="715"/>
      <c r="B112" s="715"/>
      <c r="C112" s="809"/>
      <c r="I112" s="810"/>
      <c r="T112" s="715"/>
    </row>
    <row r="113" spans="1:20" ht="12.75">
      <c r="A113" s="811" t="s">
        <v>205</v>
      </c>
      <c r="D113" s="673"/>
      <c r="I113" s="810"/>
      <c r="T113" s="715"/>
    </row>
    <row r="114" spans="2:3" ht="12.75">
      <c r="B114" s="812"/>
      <c r="C114" s="813"/>
    </row>
    <row r="115" spans="1:21" ht="38.25">
      <c r="A115" s="682" t="s">
        <v>206</v>
      </c>
      <c r="B115" s="683" t="s">
        <v>506</v>
      </c>
      <c r="C115" s="683" t="s">
        <v>507</v>
      </c>
      <c r="D115" s="683" t="s">
        <v>508</v>
      </c>
      <c r="E115" s="683" t="s">
        <v>509</v>
      </c>
      <c r="F115" s="683" t="s">
        <v>197</v>
      </c>
      <c r="G115" s="683" t="s">
        <v>360</v>
      </c>
      <c r="H115" s="683" t="s">
        <v>151</v>
      </c>
      <c r="I115" s="683" t="s">
        <v>188</v>
      </c>
      <c r="J115" s="691"/>
      <c r="K115" s="683" t="s">
        <v>187</v>
      </c>
      <c r="L115" s="683" t="s">
        <v>510</v>
      </c>
      <c r="M115" s="665" t="s">
        <v>190</v>
      </c>
      <c r="N115" s="683" t="s">
        <v>188</v>
      </c>
      <c r="O115" s="814" t="s">
        <v>192</v>
      </c>
      <c r="P115" s="715"/>
      <c r="Q115" s="715"/>
      <c r="R115" s="683" t="s">
        <v>132</v>
      </c>
      <c r="S115" s="715"/>
      <c r="T115" s="715"/>
      <c r="U115" s="715"/>
    </row>
    <row r="116" spans="1:21" ht="13.5" thickBot="1">
      <c r="A116" s="815" t="s">
        <v>511</v>
      </c>
      <c r="B116" s="816">
        <f>+C16</f>
        <v>180</v>
      </c>
      <c r="C116" s="816">
        <f>+C19</f>
        <v>28.8</v>
      </c>
      <c r="D116" s="663">
        <f>+B116+C116</f>
        <v>208.8</v>
      </c>
      <c r="E116" s="816">
        <f>+C21</f>
        <v>496.48</v>
      </c>
      <c r="F116" s="816">
        <f>+E116-C116-B116</f>
        <v>287.68</v>
      </c>
      <c r="G116" s="817">
        <f>+C44</f>
        <v>953555</v>
      </c>
      <c r="H116" s="817">
        <f>+G116*B116</f>
        <v>171639900</v>
      </c>
      <c r="I116" s="817">
        <f>+G116*F116</f>
        <v>274318702.40000004</v>
      </c>
      <c r="J116" s="817">
        <f>+I116-H116</f>
        <v>102678802.40000004</v>
      </c>
      <c r="K116" s="818" t="e">
        <f>+#REF!*E116</f>
        <v>#REF!</v>
      </c>
      <c r="L116" s="817">
        <f>+G116*E116</f>
        <v>473420986.40000004</v>
      </c>
      <c r="M116" s="819" t="e">
        <f>+N116/#REF!</f>
        <v>#REF!</v>
      </c>
      <c r="N116" s="818">
        <f>+G116*F116</f>
        <v>274318702.40000004</v>
      </c>
      <c r="O116" s="820" t="e">
        <f>+#REF!+H116</f>
        <v>#REF!</v>
      </c>
      <c r="P116" s="715"/>
      <c r="Q116" s="715"/>
      <c r="R116" s="818">
        <f>+G116*C116</f>
        <v>27462384</v>
      </c>
      <c r="S116" s="715"/>
      <c r="T116" s="715"/>
      <c r="U116" s="715"/>
    </row>
    <row r="117" spans="1:21" ht="12.75">
      <c r="A117" s="815" t="s">
        <v>600</v>
      </c>
      <c r="B117" s="816">
        <f>+C16</f>
        <v>180</v>
      </c>
      <c r="C117" s="816">
        <f>+C19</f>
        <v>28.8</v>
      </c>
      <c r="D117" s="663">
        <f>+B117+C117</f>
        <v>208.8</v>
      </c>
      <c r="E117" s="816">
        <f>+C24</f>
        <v>893.2</v>
      </c>
      <c r="F117" s="816">
        <f>+E117-C117-B117</f>
        <v>684.4000000000001</v>
      </c>
      <c r="G117" s="817">
        <f>+C46</f>
        <v>2329403</v>
      </c>
      <c r="H117" s="817">
        <f>+G117*B117</f>
        <v>419292540</v>
      </c>
      <c r="I117" s="817"/>
      <c r="J117" s="817"/>
      <c r="K117" s="818"/>
      <c r="L117" s="817">
        <f>+G117*E117</f>
        <v>2080622759.6000001</v>
      </c>
      <c r="M117" s="819"/>
      <c r="N117" s="818">
        <f>+G117*F117</f>
        <v>1594243413.2000003</v>
      </c>
      <c r="O117" s="821"/>
      <c r="P117" s="715"/>
      <c r="Q117" s="715"/>
      <c r="R117" s="818">
        <f>+G117*C117</f>
        <v>67086806.4</v>
      </c>
      <c r="S117" s="715"/>
      <c r="T117" s="715"/>
      <c r="U117" s="715"/>
    </row>
    <row r="118" spans="1:21" ht="12.75">
      <c r="A118" s="815" t="s">
        <v>512</v>
      </c>
      <c r="B118" s="816">
        <f>+C16</f>
        <v>180</v>
      </c>
      <c r="C118" s="822">
        <f>+C19</f>
        <v>28.8</v>
      </c>
      <c r="D118" s="663">
        <f>+B118+C118</f>
        <v>208.8</v>
      </c>
      <c r="E118" s="822">
        <f>+C21</f>
        <v>496.48</v>
      </c>
      <c r="F118" s="817">
        <v>0</v>
      </c>
      <c r="G118" s="823">
        <f>+C48</f>
        <v>351000</v>
      </c>
      <c r="H118" s="824">
        <f>+G118*B118</f>
        <v>63180000</v>
      </c>
      <c r="I118" s="825">
        <v>0</v>
      </c>
      <c r="J118" s="825"/>
      <c r="K118" s="825"/>
      <c r="L118" s="817">
        <v>0</v>
      </c>
      <c r="M118" s="825"/>
      <c r="N118" s="817">
        <v>0</v>
      </c>
      <c r="O118" s="657"/>
      <c r="P118" s="715"/>
      <c r="Q118" s="715"/>
      <c r="R118" s="816">
        <f>+G118*C118</f>
        <v>10108800</v>
      </c>
      <c r="S118" s="715"/>
      <c r="T118" s="715"/>
      <c r="U118" s="715"/>
    </row>
    <row r="119" spans="1:20" ht="12.75">
      <c r="A119" s="815" t="s">
        <v>513</v>
      </c>
      <c r="B119" s="816">
        <f>+C16</f>
        <v>180</v>
      </c>
      <c r="C119" s="816">
        <f>+C19</f>
        <v>28.8</v>
      </c>
      <c r="D119" s="663">
        <f>+B119+C119</f>
        <v>208.8</v>
      </c>
      <c r="E119" s="816">
        <f>+C21</f>
        <v>496.48</v>
      </c>
      <c r="F119" s="816">
        <f>+E119-C119-B119</f>
        <v>287.68</v>
      </c>
      <c r="G119" s="826">
        <f>+C47</f>
        <v>370000</v>
      </c>
      <c r="H119" s="816">
        <f>+G119*B119</f>
        <v>66600000</v>
      </c>
      <c r="I119" s="825"/>
      <c r="J119" s="825"/>
      <c r="K119" s="825"/>
      <c r="L119" s="816">
        <f>+G119*E119</f>
        <v>183697600</v>
      </c>
      <c r="M119" s="825"/>
      <c r="N119" s="818">
        <f>+G119*F119</f>
        <v>106441600</v>
      </c>
      <c r="O119" s="715"/>
      <c r="P119" s="715"/>
      <c r="Q119" s="715"/>
      <c r="R119" s="827">
        <f>+G119*C119</f>
        <v>10656000</v>
      </c>
      <c r="S119" s="715"/>
      <c r="T119" s="715"/>
    </row>
    <row r="120" spans="1:20" ht="12.75">
      <c r="A120" s="828"/>
      <c r="B120" s="829"/>
      <c r="C120" s="829"/>
      <c r="E120" s="829"/>
      <c r="F120" s="795"/>
      <c r="G120" s="830"/>
      <c r="H120" s="830"/>
      <c r="I120" s="830"/>
      <c r="J120" s="830"/>
      <c r="K120" s="830"/>
      <c r="L120" s="830"/>
      <c r="M120" s="830"/>
      <c r="N120" s="830"/>
      <c r="O120" s="715"/>
      <c r="P120" s="715"/>
      <c r="Q120" s="715"/>
      <c r="R120" s="831"/>
      <c r="S120" s="715"/>
      <c r="T120" s="715"/>
    </row>
    <row r="121" spans="1:20" ht="12.75">
      <c r="A121" s="801" t="s">
        <v>514</v>
      </c>
      <c r="B121" s="801"/>
      <c r="C121" s="801"/>
      <c r="D121" s="801"/>
      <c r="E121" s="801"/>
      <c r="F121" s="801"/>
      <c r="G121" s="832">
        <f>SUM(G116:G119)</f>
        <v>4003958</v>
      </c>
      <c r="H121" s="832">
        <f>SUM(H116:H119)</f>
        <v>720712440</v>
      </c>
      <c r="I121" s="832">
        <f>+I118+I116</f>
        <v>274318702.40000004</v>
      </c>
      <c r="J121" s="833"/>
      <c r="K121" s="833"/>
      <c r="L121" s="832">
        <f>SUM(L116:L119)</f>
        <v>2737741346</v>
      </c>
      <c r="M121" s="833"/>
      <c r="N121" s="832">
        <f>SUM(N116:N119)</f>
        <v>1975003715.6000004</v>
      </c>
      <c r="O121" s="832" t="e">
        <f>SUM(O116:O119)</f>
        <v>#REF!</v>
      </c>
      <c r="P121" s="832">
        <f>SUM(P116:P119)</f>
        <v>0</v>
      </c>
      <c r="Q121" s="832">
        <f>SUM(Q116:Q119)</f>
        <v>0</v>
      </c>
      <c r="R121" s="832">
        <f>SUM(R116:R119)</f>
        <v>115313990.4</v>
      </c>
      <c r="S121" s="715"/>
      <c r="T121" s="715"/>
    </row>
    <row r="122" spans="1:19" ht="12.75">
      <c r="A122" s="834"/>
      <c r="M122" s="821"/>
      <c r="N122" s="715"/>
      <c r="O122" s="715"/>
      <c r="P122" s="715"/>
      <c r="Q122" s="715"/>
      <c r="R122" s="715"/>
      <c r="S122" s="715"/>
    </row>
    <row r="123" spans="1:19" ht="12.75">
      <c r="A123" s="835" t="s">
        <v>349</v>
      </c>
      <c r="E123" s="836"/>
      <c r="M123" s="821"/>
      <c r="N123" s="715"/>
      <c r="O123" s="715"/>
      <c r="P123" s="715"/>
      <c r="Q123" s="715"/>
      <c r="R123" s="715"/>
      <c r="S123" s="715"/>
    </row>
    <row r="124" spans="5:17" ht="12.75">
      <c r="E124" s="673"/>
      <c r="N124" s="658"/>
      <c r="P124" s="654"/>
      <c r="Q124" s="654"/>
    </row>
    <row r="125" spans="1:17" ht="12.75">
      <c r="A125" s="1327" t="s">
        <v>349</v>
      </c>
      <c r="B125" s="1328"/>
      <c r="C125" s="837"/>
      <c r="N125" s="658"/>
      <c r="P125" s="654"/>
      <c r="Q125" s="654"/>
    </row>
    <row r="126" spans="1:17" ht="12.75">
      <c r="A126" s="838"/>
      <c r="B126" s="659" t="s">
        <v>388</v>
      </c>
      <c r="H126" s="656"/>
      <c r="M126" s="658"/>
      <c r="N126" s="658"/>
      <c r="O126" s="654"/>
      <c r="P126" s="654"/>
      <c r="Q126" s="654"/>
    </row>
    <row r="127" spans="1:17" ht="12.75">
      <c r="A127" s="672" t="s">
        <v>24</v>
      </c>
      <c r="B127" s="675">
        <v>100</v>
      </c>
      <c r="D127" s="839"/>
      <c r="H127" s="656"/>
      <c r="M127" s="658"/>
      <c r="N127" s="658"/>
      <c r="O127" s="654"/>
      <c r="P127" s="654"/>
      <c r="Q127" s="654"/>
    </row>
    <row r="128" spans="1:17" ht="12.75">
      <c r="A128" s="662" t="s">
        <v>515</v>
      </c>
      <c r="B128" s="840">
        <v>25000</v>
      </c>
      <c r="H128" s="656"/>
      <c r="M128" s="658"/>
      <c r="N128" s="658"/>
      <c r="O128" s="654"/>
      <c r="P128" s="654"/>
      <c r="Q128" s="654"/>
    </row>
    <row r="129" spans="1:17" ht="12.75">
      <c r="A129" s="662" t="s">
        <v>516</v>
      </c>
      <c r="B129" s="840">
        <f>+B128*16%</f>
        <v>4000</v>
      </c>
      <c r="H129" s="656"/>
      <c r="M129" s="658"/>
      <c r="N129" s="658"/>
      <c r="O129" s="654"/>
      <c r="P129" s="654"/>
      <c r="Q129" s="654"/>
    </row>
    <row r="130" spans="1:17" ht="12.75">
      <c r="A130" s="662" t="s">
        <v>601</v>
      </c>
      <c r="B130" s="840">
        <f>+B128+B129</f>
        <v>29000</v>
      </c>
      <c r="H130" s="656"/>
      <c r="M130" s="658"/>
      <c r="N130" s="658"/>
      <c r="O130" s="654"/>
      <c r="P130" s="654"/>
      <c r="Q130" s="654"/>
    </row>
    <row r="131" spans="1:17" ht="12.75">
      <c r="A131" s="662" t="s">
        <v>518</v>
      </c>
      <c r="B131" s="840">
        <v>52500</v>
      </c>
      <c r="H131" s="656"/>
      <c r="M131" s="658"/>
      <c r="N131" s="658"/>
      <c r="O131" s="654"/>
      <c r="P131" s="654"/>
      <c r="Q131" s="654"/>
    </row>
    <row r="132" spans="1:17" ht="12.75">
      <c r="A132" s="662" t="s">
        <v>517</v>
      </c>
      <c r="B132" s="840">
        <v>8400</v>
      </c>
      <c r="H132" s="656"/>
      <c r="M132" s="658"/>
      <c r="N132" s="658"/>
      <c r="O132" s="654"/>
      <c r="P132" s="654"/>
      <c r="Q132" s="654"/>
    </row>
    <row r="133" spans="1:17" ht="12.75">
      <c r="A133" s="662" t="s">
        <v>519</v>
      </c>
      <c r="B133" s="840">
        <f>+B131+B132</f>
        <v>60900</v>
      </c>
      <c r="H133" s="656"/>
      <c r="M133" s="658"/>
      <c r="N133" s="658"/>
      <c r="O133" s="654"/>
      <c r="P133" s="654"/>
      <c r="Q133" s="654"/>
    </row>
    <row r="134" spans="1:17" ht="12.75">
      <c r="A134" s="672" t="s">
        <v>207</v>
      </c>
      <c r="B134" s="841">
        <v>0</v>
      </c>
      <c r="H134" s="656"/>
      <c r="M134" s="658"/>
      <c r="N134" s="658"/>
      <c r="O134" s="654"/>
      <c r="P134" s="654"/>
      <c r="Q134" s="654"/>
    </row>
    <row r="135" spans="1:17" ht="12.75">
      <c r="A135" s="801" t="s">
        <v>389</v>
      </c>
      <c r="B135" s="842">
        <f>+B133*B127</f>
        <v>6090000</v>
      </c>
      <c r="H135" s="656"/>
      <c r="M135" s="658"/>
      <c r="N135" s="658"/>
      <c r="O135" s="654"/>
      <c r="P135" s="654"/>
      <c r="Q135" s="654"/>
    </row>
    <row r="136" spans="1:17" ht="12.75">
      <c r="A136" s="674" t="s">
        <v>208</v>
      </c>
      <c r="B136" s="843">
        <f>+B135-B134</f>
        <v>6090000</v>
      </c>
      <c r="H136" s="656"/>
      <c r="M136" s="658"/>
      <c r="N136" s="658"/>
      <c r="O136" s="654"/>
      <c r="P136" s="654"/>
      <c r="Q136" s="654"/>
    </row>
    <row r="137" spans="14:17" ht="12.75">
      <c r="N137" s="658"/>
      <c r="P137" s="654"/>
      <c r="Q137" s="654"/>
    </row>
    <row r="138" spans="14:17" ht="12.75">
      <c r="N138" s="658"/>
      <c r="P138" s="654"/>
      <c r="Q138" s="654"/>
    </row>
    <row r="139" spans="1:17" ht="12.75">
      <c r="A139" s="1323" t="s">
        <v>350</v>
      </c>
      <c r="B139" s="1323"/>
      <c r="N139" s="658"/>
      <c r="P139" s="654"/>
      <c r="Q139" s="654"/>
    </row>
    <row r="140" spans="1:17" ht="12.75">
      <c r="A140" s="672" t="s">
        <v>209</v>
      </c>
      <c r="B140" s="672">
        <v>0</v>
      </c>
      <c r="N140" s="658"/>
      <c r="P140" s="654"/>
      <c r="Q140" s="654"/>
    </row>
    <row r="141" spans="1:17" ht="12.75">
      <c r="A141" s="672" t="s">
        <v>210</v>
      </c>
      <c r="B141" s="840">
        <v>3740</v>
      </c>
      <c r="N141" s="658"/>
      <c r="P141" s="654"/>
      <c r="Q141" s="654"/>
    </row>
    <row r="142" spans="1:17" ht="12.75">
      <c r="A142" s="801" t="s">
        <v>211</v>
      </c>
      <c r="B142" s="842">
        <f>+B141*B140</f>
        <v>0</v>
      </c>
      <c r="N142" s="658"/>
      <c r="P142" s="654"/>
      <c r="Q142" s="654"/>
    </row>
    <row r="143" spans="14:17" ht="12.75">
      <c r="N143" s="658"/>
      <c r="P143" s="654"/>
      <c r="Q143" s="654"/>
    </row>
    <row r="144" spans="14:17" ht="12.75">
      <c r="N144" s="658"/>
      <c r="P144" s="654"/>
      <c r="Q144" s="654"/>
    </row>
    <row r="146" spans="1:4" ht="15">
      <c r="A146" s="1324" t="s">
        <v>367</v>
      </c>
      <c r="B146" s="1324"/>
      <c r="C146" s="839"/>
      <c r="D146" s="957"/>
    </row>
    <row r="147" spans="1:2" ht="12.75">
      <c r="A147" s="672" t="s">
        <v>602</v>
      </c>
      <c r="B147" s="958">
        <f>+G109+L121+B135</f>
        <v>3672838470.8</v>
      </c>
    </row>
    <row r="148" spans="1:2" ht="12.75">
      <c r="A148" s="672" t="s">
        <v>710</v>
      </c>
      <c r="B148" s="692">
        <f>+F109+H121+B134</f>
        <v>1778481023.26464</v>
      </c>
    </row>
  </sheetData>
  <sheetProtection/>
  <mergeCells count="37">
    <mergeCell ref="A2:C2"/>
    <mergeCell ref="E8:E9"/>
    <mergeCell ref="H8:H9"/>
    <mergeCell ref="N8:N9"/>
    <mergeCell ref="R8:R9"/>
    <mergeCell ref="E10:E11"/>
    <mergeCell ref="H10:H11"/>
    <mergeCell ref="N10:N11"/>
    <mergeCell ref="R10:R11"/>
    <mergeCell ref="R12:R13"/>
    <mergeCell ref="E14:E16"/>
    <mergeCell ref="H14:H16"/>
    <mergeCell ref="N14:N16"/>
    <mergeCell ref="R14:R16"/>
    <mergeCell ref="N63:N64"/>
    <mergeCell ref="E12:E13"/>
    <mergeCell ref="H12:H13"/>
    <mergeCell ref="N12:N13"/>
    <mergeCell ref="A53:N53"/>
    <mergeCell ref="B54:D54"/>
    <mergeCell ref="E54:F54"/>
    <mergeCell ref="N54:N55"/>
    <mergeCell ref="A62:N62"/>
    <mergeCell ref="A74:N74"/>
    <mergeCell ref="N75:N76"/>
    <mergeCell ref="A83:N83"/>
    <mergeCell ref="N84:N85"/>
    <mergeCell ref="A95:H95"/>
    <mergeCell ref="G96:G97"/>
    <mergeCell ref="H96:H97"/>
    <mergeCell ref="N96:N97"/>
    <mergeCell ref="A139:B139"/>
    <mergeCell ref="A146:B146"/>
    <mergeCell ref="A101:H101"/>
    <mergeCell ref="G102:G103"/>
    <mergeCell ref="H102:H103"/>
    <mergeCell ref="A125:B125"/>
  </mergeCells>
  <hyperlinks>
    <hyperlink ref="A51" r:id="rId1" display="DISTRIBUCIÓN "/>
    <hyperlink ref="A2:C2" location="'justificacion formulada'!A30" display="SUPUESTOS CALCULO DE INGRESOS PPC"/>
  </hyperlinks>
  <printOptions/>
  <pageMargins left="0.7480314960629921" right="0.7480314960629921" top="0.984251968503937" bottom="0.984251968503937" header="0" footer="0"/>
  <pageSetup horizontalDpi="600" verticalDpi="600" orientation="landscape" scale="43" r:id="rId2"/>
  <rowBreaks count="1" manualBreakCount="1">
    <brk id="71" max="255" man="1"/>
  </rowBreaks>
</worksheet>
</file>

<file path=xl/worksheets/sheet7.xml><?xml version="1.0" encoding="utf-8"?>
<worksheet xmlns="http://schemas.openxmlformats.org/spreadsheetml/2006/main" xmlns:r="http://schemas.openxmlformats.org/officeDocument/2006/relationships">
  <dimension ref="B2:I43"/>
  <sheetViews>
    <sheetView view="pageBreakPreview" zoomScale="75" zoomScaleNormal="75" zoomScaleSheetLayoutView="75" zoomScalePageLayoutView="0" workbookViewId="0" topLeftCell="A10">
      <selection activeCell="E25" sqref="E25"/>
    </sheetView>
  </sheetViews>
  <sheetFormatPr defaultColWidth="11.421875" defaultRowHeight="12.75"/>
  <cols>
    <col min="1" max="1" width="0.9921875" style="618" customWidth="1"/>
    <col min="2" max="2" width="45.8515625" style="617" bestFit="1" customWidth="1"/>
    <col min="3" max="3" width="20.140625" style="618" customWidth="1"/>
    <col min="4" max="4" width="20.7109375" style="618" customWidth="1"/>
    <col min="5" max="5" width="20.57421875" style="617" customWidth="1"/>
    <col min="6" max="6" width="22.28125" style="617" customWidth="1"/>
    <col min="7" max="7" width="16.00390625" style="618" bestFit="1" customWidth="1"/>
    <col min="8" max="8" width="19.57421875" style="618" bestFit="1" customWidth="1"/>
    <col min="9" max="9" width="20.00390625" style="618" bestFit="1" customWidth="1"/>
    <col min="10" max="16384" width="11.421875" style="618" customWidth="1"/>
  </cols>
  <sheetData>
    <row r="1" ht="14.25"/>
    <row r="2" spans="4:5" ht="15" thickBot="1">
      <c r="D2" s="619"/>
      <c r="E2" s="620"/>
    </row>
    <row r="3" spans="2:7" ht="14.25" customHeight="1">
      <c r="B3" s="1346" t="s">
        <v>664</v>
      </c>
      <c r="C3" s="1347"/>
      <c r="D3" s="1347"/>
      <c r="E3" s="1347"/>
      <c r="F3" s="1347"/>
      <c r="G3" s="1348"/>
    </row>
    <row r="4" spans="2:7" ht="15" customHeight="1" thickBot="1">
      <c r="B4" s="1349"/>
      <c r="C4" s="1350"/>
      <c r="D4" s="1350"/>
      <c r="E4" s="1350"/>
      <c r="F4" s="1350"/>
      <c r="G4" s="1351"/>
    </row>
    <row r="5" spans="4:6" ht="14.25">
      <c r="D5" s="621"/>
      <c r="F5" s="622">
        <f>+F12/3077</f>
        <v>2731259.990250244</v>
      </c>
    </row>
    <row r="6" spans="4:5" ht="15" thickBot="1">
      <c r="D6" s="623"/>
      <c r="E6" s="620"/>
    </row>
    <row r="7" spans="2:7" ht="30">
      <c r="B7" s="630" t="s">
        <v>40</v>
      </c>
      <c r="C7" s="631" t="s">
        <v>258</v>
      </c>
      <c r="D7" s="641" t="s">
        <v>183</v>
      </c>
      <c r="E7" s="641" t="s">
        <v>183</v>
      </c>
      <c r="F7" s="631" t="s">
        <v>109</v>
      </c>
      <c r="G7" s="631" t="s">
        <v>264</v>
      </c>
    </row>
    <row r="8" spans="2:7" ht="15">
      <c r="B8" s="632"/>
      <c r="C8" s="633" t="s">
        <v>330</v>
      </c>
      <c r="D8" s="633" t="s">
        <v>559</v>
      </c>
      <c r="E8" s="633" t="s">
        <v>560</v>
      </c>
      <c r="F8" s="633" t="s">
        <v>386</v>
      </c>
      <c r="G8" s="633" t="s">
        <v>386</v>
      </c>
    </row>
    <row r="9" spans="2:7" ht="15.75" thickBot="1">
      <c r="B9" s="634"/>
      <c r="C9" s="635" t="s">
        <v>553</v>
      </c>
      <c r="D9" s="635" t="s">
        <v>553</v>
      </c>
      <c r="E9" s="635" t="s">
        <v>553</v>
      </c>
      <c r="F9" s="635" t="s">
        <v>671</v>
      </c>
      <c r="G9" s="635"/>
    </row>
    <row r="10" spans="2:7" ht="15">
      <c r="B10" s="636" t="s">
        <v>266</v>
      </c>
      <c r="C10" s="1072">
        <f>+C12+C16+C20</f>
        <v>10522201344.30872</v>
      </c>
      <c r="D10" s="631">
        <f>+D12+D16+D20</f>
        <v>3536813078</v>
      </c>
      <c r="E10" s="631">
        <f>+E12+E16+E20</f>
        <v>6971938854.308719</v>
      </c>
      <c r="F10" s="631">
        <f>+F12+F16+F20</f>
        <v>10508751932.30872</v>
      </c>
      <c r="G10" s="1073">
        <f>+F10/C10</f>
        <v>0.9987218062494808</v>
      </c>
    </row>
    <row r="11" spans="2:7" ht="15">
      <c r="B11" s="637"/>
      <c r="C11" s="1074"/>
      <c r="D11" s="633"/>
      <c r="E11" s="633"/>
      <c r="F11" s="633"/>
      <c r="G11" s="1075"/>
    </row>
    <row r="12" spans="2:8" ht="15">
      <c r="B12" s="638" t="s">
        <v>385</v>
      </c>
      <c r="C12" s="1076">
        <f>+C13+C14</f>
        <v>8404086990</v>
      </c>
      <c r="D12" s="1077">
        <f>+D13+D14</f>
        <v>3201810557</v>
      </c>
      <c r="E12" s="1077">
        <f>+E13+E14</f>
        <v>5202276433</v>
      </c>
      <c r="F12" s="1077">
        <f>F13+F14</f>
        <v>8404086990</v>
      </c>
      <c r="G12" s="1078">
        <f>+F12/C12</f>
        <v>1</v>
      </c>
      <c r="H12" s="645"/>
    </row>
    <row r="13" spans="2:9" ht="14.25">
      <c r="B13" s="639" t="s">
        <v>267</v>
      </c>
      <c r="C13" s="1074">
        <v>6303065242.5</v>
      </c>
      <c r="D13" s="1079">
        <v>2401357916</v>
      </c>
      <c r="E13" s="1079">
        <v>3901707326</v>
      </c>
      <c r="F13" s="1079">
        <f>+E13+D13</f>
        <v>6303065242</v>
      </c>
      <c r="G13" s="1080">
        <f>+F13/C13</f>
        <v>0.9999999999206736</v>
      </c>
      <c r="H13" s="648"/>
      <c r="I13" s="649"/>
    </row>
    <row r="14" spans="2:9" ht="14.25">
      <c r="B14" s="639" t="s">
        <v>268</v>
      </c>
      <c r="C14" s="1074">
        <v>2101021747.5</v>
      </c>
      <c r="D14" s="1079">
        <v>800452641</v>
      </c>
      <c r="E14" s="1079">
        <v>1300569107</v>
      </c>
      <c r="F14" s="1079">
        <f>+E14+D14</f>
        <v>2101021748</v>
      </c>
      <c r="G14" s="1080">
        <f aca="true" t="shared" si="0" ref="G14:G36">+F14/C14</f>
        <v>1.0000000002379794</v>
      </c>
      <c r="H14" s="648"/>
      <c r="I14" s="649"/>
    </row>
    <row r="15" spans="2:7" ht="14.25">
      <c r="B15" s="639"/>
      <c r="C15" s="1074"/>
      <c r="D15" s="1079"/>
      <c r="E15" s="1079"/>
      <c r="F15" s="1079"/>
      <c r="G15" s="1080"/>
    </row>
    <row r="16" spans="2:7" ht="15">
      <c r="B16" s="638" t="s">
        <v>158</v>
      </c>
      <c r="C16" s="1081">
        <f>+C17+C18</f>
        <v>110000000</v>
      </c>
      <c r="D16" s="1077">
        <f>+D17+D18</f>
        <v>92550588</v>
      </c>
      <c r="E16" s="1077">
        <f>+E17+E18</f>
        <v>4000000</v>
      </c>
      <c r="F16" s="1077">
        <f>+F17+F18</f>
        <v>96550588</v>
      </c>
      <c r="G16" s="1078">
        <f t="shared" si="0"/>
        <v>0.8777326181818181</v>
      </c>
    </row>
    <row r="17" spans="2:7" ht="14.25">
      <c r="B17" s="639" t="s">
        <v>267</v>
      </c>
      <c r="C17" s="1074">
        <v>82500000</v>
      </c>
      <c r="D17" s="1079">
        <v>69412940</v>
      </c>
      <c r="E17" s="1079">
        <v>3000000</v>
      </c>
      <c r="F17" s="1079">
        <f>+E17+D17</f>
        <v>72412940</v>
      </c>
      <c r="G17" s="1080">
        <f t="shared" si="0"/>
        <v>0.8777326060606061</v>
      </c>
    </row>
    <row r="18" spans="2:7" ht="14.25">
      <c r="B18" s="639" t="s">
        <v>268</v>
      </c>
      <c r="C18" s="1074">
        <v>27500000</v>
      </c>
      <c r="D18" s="1079">
        <v>23137648</v>
      </c>
      <c r="E18" s="1079">
        <v>1000000</v>
      </c>
      <c r="F18" s="1079">
        <f>+E18+D18</f>
        <v>24137648</v>
      </c>
      <c r="G18" s="1080">
        <f t="shared" si="0"/>
        <v>0.8777326545454546</v>
      </c>
    </row>
    <row r="19" spans="2:7" ht="14.25">
      <c r="B19" s="639"/>
      <c r="C19" s="1074"/>
      <c r="D19" s="1079"/>
      <c r="E19" s="1079"/>
      <c r="F19" s="1079"/>
      <c r="G19" s="1080"/>
    </row>
    <row r="20" spans="2:7" ht="15">
      <c r="B20" s="638" t="s">
        <v>269</v>
      </c>
      <c r="C20" s="1081">
        <f>+C21+C22</f>
        <v>2008114354.3087187</v>
      </c>
      <c r="D20" s="1077">
        <f>+D21+D22</f>
        <v>242451933</v>
      </c>
      <c r="E20" s="1077">
        <f>+E21+E22</f>
        <v>1765662421.3087187</v>
      </c>
      <c r="F20" s="1077">
        <f>+F21+F22</f>
        <v>2008114354.3087187</v>
      </c>
      <c r="G20" s="1078">
        <f t="shared" si="0"/>
        <v>1</v>
      </c>
    </row>
    <row r="21" spans="2:8" ht="14.25">
      <c r="B21" s="639" t="s">
        <v>267</v>
      </c>
      <c r="C21" s="1082">
        <v>1669368297.4872904</v>
      </c>
      <c r="D21" s="1079">
        <v>241484781</v>
      </c>
      <c r="E21" s="1079">
        <f>+C21-D21</f>
        <v>1427883516.4872904</v>
      </c>
      <c r="F21" s="1079">
        <f>+E21+D21</f>
        <v>1669368297.4872904</v>
      </c>
      <c r="G21" s="1080">
        <f t="shared" si="0"/>
        <v>1</v>
      </c>
      <c r="H21" s="623"/>
    </row>
    <row r="22" spans="2:7" ht="14.25">
      <c r="B22" s="639" t="s">
        <v>268</v>
      </c>
      <c r="C22" s="1074">
        <v>338746056.8214283</v>
      </c>
      <c r="D22" s="1079">
        <v>967152</v>
      </c>
      <c r="E22" s="1079">
        <f>+C22-D22</f>
        <v>337778904.8214283</v>
      </c>
      <c r="F22" s="1079">
        <f>+E22+D22</f>
        <v>338746056.8214283</v>
      </c>
      <c r="G22" s="1080">
        <f t="shared" si="0"/>
        <v>1</v>
      </c>
    </row>
    <row r="23" spans="2:7" ht="14.25">
      <c r="B23" s="639"/>
      <c r="C23" s="1074"/>
      <c r="D23" s="1079"/>
      <c r="E23" s="1079"/>
      <c r="F23" s="1079"/>
      <c r="G23" s="1080"/>
    </row>
    <row r="24" spans="2:7" ht="15">
      <c r="B24" s="638" t="s">
        <v>270</v>
      </c>
      <c r="C24" s="1081">
        <f>+C26+C30</f>
        <v>5887413231.510017</v>
      </c>
      <c r="D24" s="1077">
        <f>+D26+D30</f>
        <v>2680767289</v>
      </c>
      <c r="E24" s="1077">
        <f>+E26+E30</f>
        <v>2502120439</v>
      </c>
      <c r="F24" s="1077">
        <f>+F26+F30</f>
        <v>5182887728</v>
      </c>
      <c r="G24" s="1078">
        <f t="shared" si="0"/>
        <v>0.8803336073406013</v>
      </c>
    </row>
    <row r="25" spans="2:7" ht="14.25">
      <c r="B25" s="639"/>
      <c r="C25" s="1074"/>
      <c r="D25" s="1079"/>
      <c r="E25" s="1079"/>
      <c r="F25" s="1079"/>
      <c r="G25" s="1080"/>
    </row>
    <row r="26" spans="2:7" ht="15">
      <c r="B26" s="638" t="s">
        <v>271</v>
      </c>
      <c r="C26" s="1081">
        <f>SUM(C27:C28)</f>
        <v>65823042.857142866</v>
      </c>
      <c r="D26" s="1077">
        <f>+D27+D28</f>
        <v>30432001</v>
      </c>
      <c r="E26" s="1077">
        <f>+E27+E28</f>
        <v>24274153</v>
      </c>
      <c r="F26" s="1077">
        <f>+F27+F28</f>
        <v>54706154</v>
      </c>
      <c r="G26" s="1078">
        <f t="shared" si="0"/>
        <v>0.8311094660076702</v>
      </c>
    </row>
    <row r="27" spans="2:7" ht="14.25">
      <c r="B27" s="639" t="s">
        <v>178</v>
      </c>
      <c r="C27" s="1074">
        <v>65823042.857142866</v>
      </c>
      <c r="D27" s="1079">
        <v>28282228</v>
      </c>
      <c r="E27" s="1079">
        <v>22457062.5</v>
      </c>
      <c r="F27" s="1079">
        <f>+E27+D27</f>
        <v>50739290.5</v>
      </c>
      <c r="G27" s="1080">
        <f t="shared" si="0"/>
        <v>0.7708438914032059</v>
      </c>
    </row>
    <row r="28" spans="2:7" ht="14.25">
      <c r="B28" s="639" t="s">
        <v>179</v>
      </c>
      <c r="C28" s="1074">
        <v>0</v>
      </c>
      <c r="D28" s="1079">
        <v>2149773</v>
      </c>
      <c r="E28" s="1079">
        <v>1817090.5</v>
      </c>
      <c r="F28" s="1079">
        <f>+E28+D28</f>
        <v>3966863.5</v>
      </c>
      <c r="G28" s="1080">
        <v>1</v>
      </c>
    </row>
    <row r="29" spans="2:7" ht="14.25">
      <c r="B29" s="639"/>
      <c r="C29" s="1074"/>
      <c r="D29" s="1079"/>
      <c r="E29" s="1079"/>
      <c r="F29" s="1079"/>
      <c r="G29" s="1080"/>
    </row>
    <row r="30" spans="2:7" ht="15">
      <c r="B30" s="638" t="s">
        <v>272</v>
      </c>
      <c r="C30" s="1081">
        <f>SUM(C31:C36)</f>
        <v>5821590188.652875</v>
      </c>
      <c r="D30" s="1077">
        <f>+D31+D32+D33+D34+D35+D36</f>
        <v>2650335288</v>
      </c>
      <c r="E30" s="1077">
        <f>SUM(E31:E36)</f>
        <v>2477846286</v>
      </c>
      <c r="F30" s="1077">
        <f>+F31+F32+F33+F34+F35+F36</f>
        <v>5128181574</v>
      </c>
      <c r="G30" s="1078">
        <f t="shared" si="0"/>
        <v>0.8808901705234372</v>
      </c>
    </row>
    <row r="31" spans="2:7" ht="14.25">
      <c r="B31" s="639" t="s">
        <v>273</v>
      </c>
      <c r="C31" s="1074">
        <v>4134851486.4000006</v>
      </c>
      <c r="D31" s="1079">
        <v>1924744462</v>
      </c>
      <c r="E31" s="1079">
        <v>1574238722</v>
      </c>
      <c r="F31" s="1079">
        <f aca="true" t="shared" si="1" ref="F31:F36">+D31+E31</f>
        <v>3498983184</v>
      </c>
      <c r="G31" s="1080">
        <f>+F31/C31</f>
        <v>0.8462173781836073</v>
      </c>
    </row>
    <row r="32" spans="2:7" ht="14.25">
      <c r="B32" s="639" t="s">
        <v>181</v>
      </c>
      <c r="C32" s="1074">
        <v>33559548</v>
      </c>
      <c r="D32" s="1079">
        <v>5142958</v>
      </c>
      <c r="E32" s="1079">
        <v>16271235.5</v>
      </c>
      <c r="F32" s="1079">
        <f t="shared" si="1"/>
        <v>21414193.5</v>
      </c>
      <c r="G32" s="1080">
        <f t="shared" si="0"/>
        <v>0.6380954087939444</v>
      </c>
    </row>
    <row r="33" spans="2:7" ht="14.25">
      <c r="B33" s="639" t="s">
        <v>182</v>
      </c>
      <c r="C33" s="1074">
        <v>9348838.285714285</v>
      </c>
      <c r="D33" s="1079">
        <v>5552246</v>
      </c>
      <c r="E33" s="1079">
        <v>2953775</v>
      </c>
      <c r="F33" s="1079">
        <f t="shared" si="1"/>
        <v>8506021</v>
      </c>
      <c r="G33" s="1080">
        <f t="shared" si="0"/>
        <v>0.9098479126543271</v>
      </c>
    </row>
    <row r="34" spans="2:7" ht="14.25">
      <c r="B34" s="639" t="s">
        <v>180</v>
      </c>
      <c r="C34" s="1074">
        <v>124905842.28571428</v>
      </c>
      <c r="D34" s="1079">
        <v>63170379</v>
      </c>
      <c r="E34" s="1079">
        <v>77183322.5</v>
      </c>
      <c r="F34" s="1079">
        <f t="shared" si="1"/>
        <v>140353701.5</v>
      </c>
      <c r="G34" s="1080">
        <f t="shared" si="0"/>
        <v>1.123676034135775</v>
      </c>
    </row>
    <row r="35" spans="2:8" ht="14.25">
      <c r="B35" s="639" t="s">
        <v>383</v>
      </c>
      <c r="C35" s="1074">
        <v>1161020873.6814463</v>
      </c>
      <c r="D35" s="1079">
        <v>305819516</v>
      </c>
      <c r="E35" s="1079">
        <f>795502358-301000</f>
        <v>795201358</v>
      </c>
      <c r="F35" s="1079">
        <f>+D35+E35</f>
        <v>1101020874</v>
      </c>
      <c r="G35" s="1080">
        <f t="shared" si="0"/>
        <v>0.9483213428444278</v>
      </c>
      <c r="H35" s="647"/>
    </row>
    <row r="36" spans="2:8" ht="14.25">
      <c r="B36" s="639" t="s">
        <v>384</v>
      </c>
      <c r="C36" s="1074">
        <v>357903600</v>
      </c>
      <c r="D36" s="1079">
        <v>345905727</v>
      </c>
      <c r="E36" s="1079">
        <v>11997873</v>
      </c>
      <c r="F36" s="1079">
        <f t="shared" si="1"/>
        <v>357903600</v>
      </c>
      <c r="G36" s="1080">
        <f t="shared" si="0"/>
        <v>1</v>
      </c>
      <c r="H36" s="647"/>
    </row>
    <row r="37" spans="2:7" ht="14.25">
      <c r="B37" s="639"/>
      <c r="C37" s="1074"/>
      <c r="D37" s="1079"/>
      <c r="E37" s="1079"/>
      <c r="F37" s="1079"/>
      <c r="G37" s="1083"/>
    </row>
    <row r="38" spans="2:7" ht="15.75" thickBot="1">
      <c r="B38" s="640" t="s">
        <v>274</v>
      </c>
      <c r="C38" s="1084">
        <f>+C24+C10</f>
        <v>16409614575.818737</v>
      </c>
      <c r="D38" s="1085">
        <f>+D24+D10</f>
        <v>6217580367</v>
      </c>
      <c r="E38" s="1085">
        <f>+E24+E10</f>
        <v>9474059293.30872</v>
      </c>
      <c r="F38" s="1085">
        <f>+F24+F10</f>
        <v>15691639660.30872</v>
      </c>
      <c r="G38" s="1086">
        <f>+F38/C38</f>
        <v>0.9562466923160994</v>
      </c>
    </row>
    <row r="39" ht="15" thickBot="1"/>
    <row r="40" spans="2:6" ht="16.5" thickBot="1">
      <c r="B40" s="1352" t="s">
        <v>566</v>
      </c>
      <c r="C40" s="1353"/>
      <c r="D40" s="1353"/>
      <c r="E40" s="1353"/>
      <c r="F40" s="650">
        <f>(+F13+F17+F21+F27+F32+F34+F35)</f>
        <v>9358374538.98729</v>
      </c>
    </row>
    <row r="41" spans="2:7" ht="16.5" thickBot="1">
      <c r="B41" s="624"/>
      <c r="C41" s="625"/>
      <c r="D41" s="623"/>
      <c r="E41" s="626"/>
      <c r="F41" s="642"/>
      <c r="G41" s="643"/>
    </row>
    <row r="42" spans="2:7" ht="16.5" thickBot="1">
      <c r="B42" s="1352" t="s">
        <v>567</v>
      </c>
      <c r="C42" s="1353"/>
      <c r="D42" s="1353"/>
      <c r="E42" s="1353"/>
      <c r="F42" s="650">
        <f>+F14+F18+F22+F28+F31+F33+F36</f>
        <v>6333265121.321428</v>
      </c>
      <c r="G42" s="643"/>
    </row>
    <row r="43" spans="3:6" ht="14.25">
      <c r="C43" s="628" t="s">
        <v>468</v>
      </c>
      <c r="D43" s="629">
        <v>62903792</v>
      </c>
      <c r="F43" s="627"/>
    </row>
  </sheetData>
  <sheetProtection/>
  <mergeCells count="3">
    <mergeCell ref="B3:G4"/>
    <mergeCell ref="B40:E40"/>
    <mergeCell ref="B42:E42"/>
  </mergeCells>
  <printOptions horizontalCentered="1" verticalCentered="1"/>
  <pageMargins left="0.31496062992125984" right="0.35433070866141736" top="0.5118110236220472" bottom="0.984251968503937" header="0.1968503937007874" footer="0"/>
  <pageSetup horizontalDpi="600" verticalDpi="600" orientation="portrait" scale="68" r:id="rId3"/>
  <legacyDrawing r:id="rId2"/>
</worksheet>
</file>

<file path=xl/worksheets/sheet8.xml><?xml version="1.0" encoding="utf-8"?>
<worksheet xmlns="http://schemas.openxmlformats.org/spreadsheetml/2006/main" xmlns:r="http://schemas.openxmlformats.org/officeDocument/2006/relationships">
  <sheetPr>
    <tabColor rgb="FFFF0000"/>
    <pageSetUpPr fitToPage="1"/>
  </sheetPr>
  <dimension ref="A1:V258"/>
  <sheetViews>
    <sheetView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L6" sqref="L6"/>
    </sheetView>
  </sheetViews>
  <sheetFormatPr defaultColWidth="11.421875" defaultRowHeight="12.75" outlineLevelRow="2" outlineLevelCol="1"/>
  <cols>
    <col min="1" max="1" width="71.140625" style="375" customWidth="1"/>
    <col min="2" max="2" width="15.140625" style="375" hidden="1" customWidth="1" outlineLevel="1"/>
    <col min="3" max="3" width="15.7109375" style="375" hidden="1" customWidth="1" outlineLevel="1"/>
    <col min="4" max="4" width="14.140625" style="375" hidden="1" customWidth="1" outlineLevel="1"/>
    <col min="5" max="5" width="14.421875" style="375" hidden="1" customWidth="1" outlineLevel="1"/>
    <col min="6" max="6" width="15.57421875" style="375" hidden="1" customWidth="1" outlineLevel="1"/>
    <col min="7" max="7" width="16.7109375" style="375" hidden="1" customWidth="1" outlineLevel="1"/>
    <col min="8" max="8" width="17.57421875" style="375" hidden="1" customWidth="1" outlineLevel="1" collapsed="1"/>
    <col min="9" max="9" width="13.8515625" style="375" hidden="1" customWidth="1" outlineLevel="1"/>
    <col min="10" max="10" width="13.421875" style="375" hidden="1" customWidth="1" outlineLevel="1"/>
    <col min="11" max="11" width="15.7109375" style="375" hidden="1" customWidth="1" outlineLevel="1"/>
    <col min="12" max="12" width="16.7109375" style="375" customWidth="1" collapsed="1"/>
    <col min="13" max="15" width="20.8515625" style="375" hidden="1" customWidth="1" outlineLevel="1"/>
    <col min="16" max="16" width="20.8515625" style="375" customWidth="1" collapsed="1"/>
    <col min="17" max="17" width="19.421875" style="375" customWidth="1"/>
    <col min="18" max="18" width="14.57421875" style="375" hidden="1" customWidth="1" outlineLevel="1"/>
    <col min="19" max="21" width="14.8515625" style="375" hidden="1" customWidth="1" outlineLevel="1"/>
    <col min="22" max="22" width="16.57421875" style="375" hidden="1" customWidth="1" outlineLevel="1"/>
    <col min="23" max="23" width="11.421875" style="375" hidden="1" customWidth="1" outlineLevel="1"/>
    <col min="24" max="24" width="11.421875" style="375" customWidth="1" collapsed="1"/>
    <col min="25" max="16384" width="11.421875" style="375" customWidth="1"/>
  </cols>
  <sheetData>
    <row r="1" spans="1:17" ht="15.75" outlineLevel="1" thickBot="1">
      <c r="A1" s="1352" t="s">
        <v>665</v>
      </c>
      <c r="B1" s="1353"/>
      <c r="C1" s="1353"/>
      <c r="D1" s="1353"/>
      <c r="E1" s="1353"/>
      <c r="F1" s="1353"/>
      <c r="G1" s="1353"/>
      <c r="H1" s="1353"/>
      <c r="I1" s="1353"/>
      <c r="J1" s="1353"/>
      <c r="K1" s="1353"/>
      <c r="L1" s="1353"/>
      <c r="M1" s="1353"/>
      <c r="N1" s="1353"/>
      <c r="O1" s="1353"/>
      <c r="P1" s="1353"/>
      <c r="Q1" s="1354"/>
    </row>
    <row r="2" spans="1:12" ht="15" outlineLevel="1">
      <c r="A2" s="1313"/>
      <c r="B2" s="1313"/>
      <c r="C2" s="1313"/>
      <c r="D2" s="1313"/>
      <c r="E2" s="1313"/>
      <c r="F2" s="1313"/>
      <c r="G2" s="1313"/>
      <c r="H2" s="1313"/>
      <c r="I2" s="1313"/>
      <c r="J2" s="1313"/>
      <c r="K2" s="1313"/>
      <c r="L2" s="1313"/>
    </row>
    <row r="3" spans="1:12" ht="15" outlineLevel="1">
      <c r="A3" s="1313"/>
      <c r="B3" s="1313"/>
      <c r="C3" s="1313"/>
      <c r="D3" s="1313"/>
      <c r="E3" s="1313"/>
      <c r="F3" s="1313"/>
      <c r="G3" s="1313"/>
      <c r="H3" s="1313"/>
      <c r="I3" s="1313"/>
      <c r="J3" s="1313"/>
      <c r="K3" s="1313"/>
      <c r="L3" s="1313"/>
    </row>
    <row r="4" spans="1:12" ht="15" outlineLevel="1">
      <c r="A4" s="1313"/>
      <c r="B4" s="1313"/>
      <c r="C4" s="1313"/>
      <c r="D4" s="1313"/>
      <c r="E4" s="1313"/>
      <c r="F4" s="1313"/>
      <c r="G4" s="1313"/>
      <c r="H4" s="1313"/>
      <c r="I4" s="1313"/>
      <c r="J4" s="1313"/>
      <c r="K4" s="1313"/>
      <c r="L4" s="1313"/>
    </row>
    <row r="5" spans="1:16" ht="4.5" customHeight="1" outlineLevel="1" thickBot="1">
      <c r="A5" s="863"/>
      <c r="B5" s="864"/>
      <c r="C5" s="865"/>
      <c r="D5" s="864"/>
      <c r="E5" s="864"/>
      <c r="F5" s="864"/>
      <c r="G5" s="864"/>
      <c r="M5" s="377"/>
      <c r="N5" s="377"/>
      <c r="O5" s="377"/>
      <c r="P5" s="377"/>
    </row>
    <row r="6" spans="1:17" ht="45.75" thickTop="1">
      <c r="A6" s="866" t="s">
        <v>40</v>
      </c>
      <c r="B6" s="867" t="s">
        <v>368</v>
      </c>
      <c r="C6" s="867" t="s">
        <v>369</v>
      </c>
      <c r="D6" s="867" t="s">
        <v>375</v>
      </c>
      <c r="E6" s="867" t="s">
        <v>370</v>
      </c>
      <c r="F6" s="867" t="s">
        <v>371</v>
      </c>
      <c r="G6" s="867" t="s">
        <v>20</v>
      </c>
      <c r="H6" s="867" t="s">
        <v>676</v>
      </c>
      <c r="I6" s="867" t="s">
        <v>677</v>
      </c>
      <c r="J6" s="867" t="s">
        <v>678</v>
      </c>
      <c r="K6" s="1087" t="s">
        <v>679</v>
      </c>
      <c r="L6" s="1087" t="s">
        <v>680</v>
      </c>
      <c r="M6" s="1088" t="s">
        <v>735</v>
      </c>
      <c r="N6" s="1088" t="s">
        <v>736</v>
      </c>
      <c r="O6" s="1088" t="s">
        <v>737</v>
      </c>
      <c r="P6" s="1089" t="s">
        <v>859</v>
      </c>
      <c r="Q6" s="1090" t="s">
        <v>565</v>
      </c>
    </row>
    <row r="7" spans="1:22" ht="15.75">
      <c r="A7" s="407" t="s">
        <v>373</v>
      </c>
      <c r="B7" s="411"/>
      <c r="C7" s="411"/>
      <c r="D7" s="411"/>
      <c r="E7" s="411"/>
      <c r="F7" s="411"/>
      <c r="G7" s="411"/>
      <c r="H7" s="411"/>
      <c r="I7" s="411"/>
      <c r="J7" s="1091"/>
      <c r="K7" s="1092"/>
      <c r="L7" s="1093"/>
      <c r="M7" s="1094"/>
      <c r="N7" s="1093"/>
      <c r="O7" s="1093"/>
      <c r="P7" s="1093"/>
      <c r="Q7" s="1095"/>
      <c r="R7" s="1358" t="s">
        <v>362</v>
      </c>
      <c r="S7" s="1358"/>
      <c r="T7" s="1358"/>
      <c r="U7" s="1358"/>
      <c r="V7" s="1359"/>
    </row>
    <row r="8" spans="1:22" ht="15">
      <c r="A8" s="432" t="s">
        <v>357</v>
      </c>
      <c r="B8" s="420">
        <f aca="true" t="shared" si="0" ref="B8:H8">+B9+B10+B11+B12+B13+B15+B16+B17</f>
        <v>874152278.2544763</v>
      </c>
      <c r="C8" s="420">
        <f t="shared" si="0"/>
        <v>201718180.97336727</v>
      </c>
      <c r="D8" s="420">
        <f t="shared" si="0"/>
        <v>883403440.6165622</v>
      </c>
      <c r="E8" s="420">
        <f t="shared" si="0"/>
        <v>240065203.60364738</v>
      </c>
      <c r="F8" s="420">
        <f t="shared" si="0"/>
        <v>2199339103.448053</v>
      </c>
      <c r="G8" s="420">
        <f t="shared" si="0"/>
        <v>164283019.22628286</v>
      </c>
      <c r="H8" s="420">
        <f t="shared" si="0"/>
        <v>2363622122.674336</v>
      </c>
      <c r="I8" s="420"/>
      <c r="J8" s="1096">
        <f>SUM(J9:J19)</f>
        <v>-93392973</v>
      </c>
      <c r="K8" s="1097">
        <f>+K9+K10+K11+K12+K13+K15+K16+K17</f>
        <v>-18915273</v>
      </c>
      <c r="L8" s="1098">
        <f aca="true" t="shared" si="1" ref="L8:L20">SUM(H8:K8)</f>
        <v>2251313876.674336</v>
      </c>
      <c r="M8" s="1099">
        <f>+M9+M10+M11+M12+M13+M15+M16+M17</f>
        <v>966147581</v>
      </c>
      <c r="N8" s="1099">
        <f>+N9+N10+N11+N12+N13+N15+N16+N17</f>
        <v>578234301.9874921</v>
      </c>
      <c r="O8" s="1099">
        <f>+O9+O10+O11+O12+O13+O15+O16+O17</f>
        <v>598535409.9509639</v>
      </c>
      <c r="P8" s="1098">
        <f>+O8+N8+M8</f>
        <v>2142917292.938456</v>
      </c>
      <c r="Q8" s="1100">
        <f>+P8/L8</f>
        <v>0.9518518564386036</v>
      </c>
      <c r="R8" s="1014" t="s">
        <v>746</v>
      </c>
      <c r="S8" s="1012" t="s">
        <v>747</v>
      </c>
      <c r="T8" s="1012" t="s">
        <v>748</v>
      </c>
      <c r="U8" s="1012" t="s">
        <v>749</v>
      </c>
      <c r="V8" s="1012" t="s">
        <v>109</v>
      </c>
    </row>
    <row r="9" spans="1:22" ht="14.25">
      <c r="A9" s="413" t="s">
        <v>376</v>
      </c>
      <c r="B9" s="414">
        <v>589614253.8448447</v>
      </c>
      <c r="C9" s="414">
        <v>142595168.20529133</v>
      </c>
      <c r="D9" s="414">
        <v>594876162.8348161</v>
      </c>
      <c r="E9" s="414">
        <v>170436904.62006533</v>
      </c>
      <c r="F9" s="414">
        <v>1497522489.5050173</v>
      </c>
      <c r="G9" s="414">
        <v>110774698.79254897</v>
      </c>
      <c r="H9" s="414">
        <v>1608297188.2975662</v>
      </c>
      <c r="I9" s="414"/>
      <c r="J9" s="1101">
        <f>-30350666-38163049</f>
        <v>-68513715</v>
      </c>
      <c r="K9" s="1102">
        <v>-12862361</v>
      </c>
      <c r="L9" s="1103">
        <f t="shared" si="1"/>
        <v>1526921112.2975662</v>
      </c>
      <c r="M9" s="1104">
        <v>647633573</v>
      </c>
      <c r="N9" s="1103">
        <v>395062569.61200005</v>
      </c>
      <c r="O9" s="1103">
        <v>411353741.34000003</v>
      </c>
      <c r="P9" s="1103">
        <f aca="true" t="shared" si="2" ref="P9:P72">+O9+N9+M9</f>
        <v>1454049883.9520001</v>
      </c>
      <c r="Q9" s="1105">
        <f>+P9/L9</f>
        <v>0.9522757084444813</v>
      </c>
      <c r="R9" s="1014">
        <v>121228863.78000003</v>
      </c>
      <c r="S9" s="1012">
        <v>148269676</v>
      </c>
      <c r="T9" s="1012">
        <v>163353936.78000003</v>
      </c>
      <c r="U9" s="1012">
        <v>163353936.78000003</v>
      </c>
      <c r="V9" s="1012">
        <v>596206413.3400002</v>
      </c>
    </row>
    <row r="10" spans="1:22" ht="14.25">
      <c r="A10" s="413" t="s">
        <v>5</v>
      </c>
      <c r="B10" s="414">
        <v>42303414.54548</v>
      </c>
      <c r="C10" s="414">
        <v>7028130.39274</v>
      </c>
      <c r="D10" s="414">
        <v>42745319.25822</v>
      </c>
      <c r="E10" s="414">
        <v>8284742.85274</v>
      </c>
      <c r="F10" s="414">
        <v>100361607.04918</v>
      </c>
      <c r="G10" s="414">
        <v>8433153.65064</v>
      </c>
      <c r="H10" s="414">
        <v>108794760.69982</v>
      </c>
      <c r="I10" s="414"/>
      <c r="J10" s="1101">
        <v>-3180254</v>
      </c>
      <c r="K10" s="1102">
        <v>-1060085</v>
      </c>
      <c r="L10" s="1103">
        <f t="shared" si="1"/>
        <v>104554421.69982</v>
      </c>
      <c r="M10" s="1104">
        <v>47178017</v>
      </c>
      <c r="N10" s="1103">
        <v>26128147.163958002</v>
      </c>
      <c r="O10" s="1103">
        <v>26128147.163958002</v>
      </c>
      <c r="P10" s="1103">
        <f t="shared" si="2"/>
        <v>99434311.327916</v>
      </c>
      <c r="Q10" s="1105">
        <f aca="true" t="shared" si="3" ref="Q10:Q73">+P10/L10</f>
        <v>0.9510292315842552</v>
      </c>
      <c r="R10" s="1014">
        <v>7954183.313462</v>
      </c>
      <c r="S10" s="1012">
        <v>12296411</v>
      </c>
      <c r="T10" s="1012">
        <v>10682054.313462</v>
      </c>
      <c r="U10" s="1012">
        <v>10682054.313462</v>
      </c>
      <c r="V10" s="1012">
        <v>41614702.940386</v>
      </c>
    </row>
    <row r="11" spans="1:22" ht="14.25">
      <c r="A11" s="413" t="s">
        <v>6</v>
      </c>
      <c r="B11" s="414">
        <v>5076409.7454576</v>
      </c>
      <c r="C11" s="414">
        <v>843375.6471288</v>
      </c>
      <c r="D11" s="414">
        <v>5129438.310986401</v>
      </c>
      <c r="E11" s="414">
        <v>994169.1423288</v>
      </c>
      <c r="F11" s="414">
        <v>12043392.845901601</v>
      </c>
      <c r="G11" s="414">
        <v>1011978.4380768</v>
      </c>
      <c r="H11" s="414">
        <v>13055371.2839784</v>
      </c>
      <c r="I11" s="414"/>
      <c r="J11" s="1101">
        <v>-381630</v>
      </c>
      <c r="K11" s="1102">
        <v>-127211</v>
      </c>
      <c r="L11" s="1103">
        <f t="shared" si="1"/>
        <v>12546530.2839784</v>
      </c>
      <c r="M11" s="1104">
        <v>4434680</v>
      </c>
      <c r="N11" s="1103">
        <v>3135377.65967496</v>
      </c>
      <c r="O11" s="1103">
        <v>3135377.65967496</v>
      </c>
      <c r="P11" s="1103">
        <f t="shared" si="2"/>
        <v>10705435.31934992</v>
      </c>
      <c r="Q11" s="1105">
        <f>+P11/L11</f>
        <v>0.8532586362159814</v>
      </c>
      <c r="R11" s="1014">
        <v>75646.51761544007</v>
      </c>
      <c r="S11" s="1012">
        <v>1059980</v>
      </c>
      <c r="T11" s="1012">
        <v>1281846.51761544</v>
      </c>
      <c r="U11" s="1012">
        <v>1281846.51761544</v>
      </c>
      <c r="V11" s="1012">
        <v>3699319.55284632</v>
      </c>
    </row>
    <row r="12" spans="1:22" ht="14.25">
      <c r="A12" s="413" t="s">
        <v>1</v>
      </c>
      <c r="B12" s="414">
        <v>42303414.54548</v>
      </c>
      <c r="C12" s="414">
        <v>7028130.39274</v>
      </c>
      <c r="D12" s="414">
        <v>42745319.25822</v>
      </c>
      <c r="E12" s="414">
        <v>8284742.85274</v>
      </c>
      <c r="F12" s="414">
        <v>100361607.04918</v>
      </c>
      <c r="G12" s="414">
        <v>8433153.65064</v>
      </c>
      <c r="H12" s="414">
        <v>108794760.69982</v>
      </c>
      <c r="I12" s="414"/>
      <c r="J12" s="1101">
        <v>-3180254</v>
      </c>
      <c r="K12" s="1102">
        <v>-1060085</v>
      </c>
      <c r="L12" s="1103">
        <f t="shared" si="1"/>
        <v>104554421.69982</v>
      </c>
      <c r="M12" s="1104">
        <v>47178017</v>
      </c>
      <c r="N12" s="1103">
        <v>26128147.163958002</v>
      </c>
      <c r="O12" s="1103">
        <v>26128147.163958002</v>
      </c>
      <c r="P12" s="1103">
        <f t="shared" si="2"/>
        <v>99434311.327916</v>
      </c>
      <c r="Q12" s="1105">
        <f t="shared" si="3"/>
        <v>0.9510292315842552</v>
      </c>
      <c r="R12" s="1014">
        <v>7954183.313462</v>
      </c>
      <c r="S12" s="1012">
        <v>12296411</v>
      </c>
      <c r="T12" s="1012">
        <v>10682054.313462</v>
      </c>
      <c r="U12" s="1012">
        <v>10682054.313462</v>
      </c>
      <c r="V12" s="1012">
        <v>41614702.940386</v>
      </c>
    </row>
    <row r="13" spans="1:22" ht="14.25">
      <c r="A13" s="413" t="s">
        <v>2</v>
      </c>
      <c r="B13" s="414">
        <v>24499207.22347</v>
      </c>
      <c r="C13" s="414">
        <v>6861565.1471</v>
      </c>
      <c r="D13" s="414">
        <v>24720159.57984</v>
      </c>
      <c r="E13" s="414">
        <v>7489871.3771</v>
      </c>
      <c r="F13" s="414">
        <v>63570803.32750999</v>
      </c>
      <c r="G13" s="414">
        <v>4216576.82532</v>
      </c>
      <c r="H13" s="414">
        <v>67787380.15282999</v>
      </c>
      <c r="I13" s="414"/>
      <c r="J13" s="1101">
        <f>-3347500-2120169</f>
        <v>-5467669</v>
      </c>
      <c r="K13" s="1102">
        <v>0</v>
      </c>
      <c r="L13" s="1103">
        <f t="shared" si="1"/>
        <v>62319711.15282999</v>
      </c>
      <c r="M13" s="1104">
        <v>27064062</v>
      </c>
      <c r="N13" s="1103">
        <v>14769358.239636052</v>
      </c>
      <c r="O13" s="1103">
        <v>15355639.571781652</v>
      </c>
      <c r="P13" s="1103">
        <f t="shared" si="2"/>
        <v>57189059.81141771</v>
      </c>
      <c r="Q13" s="1105">
        <f t="shared" si="3"/>
        <v>0.9176720936842901</v>
      </c>
      <c r="R13" s="1014">
        <v>4461353.325552853</v>
      </c>
      <c r="S13" s="1012">
        <v>7294475</v>
      </c>
      <c r="T13" s="1012">
        <v>5910639.325552853</v>
      </c>
      <c r="U13" s="1012">
        <v>5910639.325552853</v>
      </c>
      <c r="V13" s="1012">
        <v>23577106.97665856</v>
      </c>
    </row>
    <row r="14" spans="1:22" ht="14.25">
      <c r="A14" s="413" t="s">
        <v>326</v>
      </c>
      <c r="B14" s="414"/>
      <c r="C14" s="414"/>
      <c r="D14" s="414"/>
      <c r="E14" s="414"/>
      <c r="F14" s="414">
        <v>0</v>
      </c>
      <c r="G14" s="414">
        <v>20000000</v>
      </c>
      <c r="H14" s="414">
        <v>20000000</v>
      </c>
      <c r="I14" s="414"/>
      <c r="J14" s="1101">
        <v>5000000</v>
      </c>
      <c r="K14" s="1102">
        <v>0</v>
      </c>
      <c r="L14" s="1103">
        <f t="shared" si="1"/>
        <v>25000000</v>
      </c>
      <c r="M14" s="1104">
        <v>7000000</v>
      </c>
      <c r="N14" s="1103">
        <v>5206080</v>
      </c>
      <c r="O14" s="1103">
        <v>12743920</v>
      </c>
      <c r="P14" s="1103">
        <f t="shared" si="2"/>
        <v>24950000</v>
      </c>
      <c r="Q14" s="1105">
        <f t="shared" si="3"/>
        <v>0.998</v>
      </c>
      <c r="R14" s="1014">
        <v>0</v>
      </c>
      <c r="S14" s="1012">
        <v>0</v>
      </c>
      <c r="T14" s="1012">
        <v>0</v>
      </c>
      <c r="U14" s="1012">
        <v>0</v>
      </c>
      <c r="V14" s="1012">
        <v>0</v>
      </c>
    </row>
    <row r="15" spans="1:22" ht="14.25">
      <c r="A15" s="413" t="s">
        <v>3</v>
      </c>
      <c r="B15" s="414">
        <v>119598711.73208714</v>
      </c>
      <c r="C15" s="414">
        <v>26161481.407029975</v>
      </c>
      <c r="D15" s="414">
        <v>122023208.3279231</v>
      </c>
      <c r="E15" s="414">
        <v>31212140.194951363</v>
      </c>
      <c r="F15" s="414">
        <v>298995541.6619916</v>
      </c>
      <c r="G15" s="414">
        <v>22480168.60600626</v>
      </c>
      <c r="H15" s="414">
        <v>321475710.26799786</v>
      </c>
      <c r="I15" s="414"/>
      <c r="J15" s="1101">
        <f>-4466222-7906278</f>
        <v>-12372500</v>
      </c>
      <c r="K15" s="1102">
        <v>-2664708</v>
      </c>
      <c r="L15" s="1103">
        <f t="shared" si="1"/>
        <v>306438502.26799786</v>
      </c>
      <c r="M15" s="1104">
        <v>135536815</v>
      </c>
      <c r="N15" s="1103">
        <v>79542409.2305931</v>
      </c>
      <c r="O15" s="1103">
        <v>81939720.3150552</v>
      </c>
      <c r="P15" s="1103">
        <f t="shared" si="2"/>
        <v>297018944.54564834</v>
      </c>
      <c r="Q15" s="1105">
        <f t="shared" si="3"/>
        <v>0.9692611807829827</v>
      </c>
      <c r="R15" s="1014">
        <v>27462903.129309937</v>
      </c>
      <c r="S15" s="1012">
        <v>30376041</v>
      </c>
      <c r="T15" s="1012">
        <v>33662995.12930994</v>
      </c>
      <c r="U15" s="1012">
        <v>33662995.12930994</v>
      </c>
      <c r="V15" s="1012">
        <v>125164934.38792981</v>
      </c>
    </row>
    <row r="16" spans="1:22" ht="14.25">
      <c r="A16" s="413" t="s">
        <v>7</v>
      </c>
      <c r="B16" s="414">
        <v>22558607.385625258</v>
      </c>
      <c r="C16" s="414">
        <v>4977924.34726096</v>
      </c>
      <c r="D16" s="414">
        <v>22739481.354025256</v>
      </c>
      <c r="E16" s="414">
        <v>5938947.806098632</v>
      </c>
      <c r="F16" s="414">
        <v>56214960.8930101</v>
      </c>
      <c r="G16" s="414">
        <v>3970350.7835781593</v>
      </c>
      <c r="H16" s="414">
        <v>60185311.67658826</v>
      </c>
      <c r="I16" s="414"/>
      <c r="J16" s="1101">
        <f>-849819-1504382</f>
        <v>-2354201</v>
      </c>
      <c r="K16" s="1102">
        <v>-507032</v>
      </c>
      <c r="L16" s="1103">
        <f t="shared" si="1"/>
        <v>57324078.67658826</v>
      </c>
      <c r="M16" s="1104">
        <v>25388140</v>
      </c>
      <c r="N16" s="1103">
        <v>14874796.85229864</v>
      </c>
      <c r="O16" s="1103">
        <v>15330949.66068264</v>
      </c>
      <c r="P16" s="1103">
        <f t="shared" si="2"/>
        <v>55593886.51298128</v>
      </c>
      <c r="Q16" s="1105">
        <f t="shared" si="3"/>
        <v>0.969817357669743</v>
      </c>
      <c r="R16" s="1014">
        <v>5150800.38612264</v>
      </c>
      <c r="S16" s="1012">
        <v>5664100</v>
      </c>
      <c r="T16" s="1012">
        <v>6270997.38612264</v>
      </c>
      <c r="U16" s="1012">
        <v>6270997.38612264</v>
      </c>
      <c r="V16" s="1012">
        <v>23356895.15836792</v>
      </c>
    </row>
    <row r="17" spans="1:22" ht="14.25">
      <c r="A17" s="413" t="s">
        <v>4</v>
      </c>
      <c r="B17" s="414">
        <v>28198259.232031573</v>
      </c>
      <c r="C17" s="414">
        <v>6222405.434076199</v>
      </c>
      <c r="D17" s="414">
        <v>28424351.692531575</v>
      </c>
      <c r="E17" s="414">
        <v>7423684.757623289</v>
      </c>
      <c r="F17" s="414">
        <v>70268701.11626263</v>
      </c>
      <c r="G17" s="414">
        <v>4962938.4794727</v>
      </c>
      <c r="H17" s="414">
        <v>75231639.59573533</v>
      </c>
      <c r="I17" s="414"/>
      <c r="J17" s="1101">
        <f>-1062273-1880477</f>
        <v>-2942750</v>
      </c>
      <c r="K17" s="1102">
        <v>-633791</v>
      </c>
      <c r="L17" s="1103">
        <f t="shared" si="1"/>
        <v>71655098.59573533</v>
      </c>
      <c r="M17" s="1104">
        <v>31734277</v>
      </c>
      <c r="N17" s="1103">
        <v>18593496.0653733</v>
      </c>
      <c r="O17" s="1103">
        <v>19163687.0758533</v>
      </c>
      <c r="P17" s="1103">
        <f t="shared" si="2"/>
        <v>69491460.1412266</v>
      </c>
      <c r="Q17" s="1105">
        <f t="shared" si="3"/>
        <v>0.9698048220306615</v>
      </c>
      <c r="R17" s="1014">
        <v>6437879.732653302</v>
      </c>
      <c r="S17" s="1012">
        <v>7081100</v>
      </c>
      <c r="T17" s="1012">
        <v>7838746.732653302</v>
      </c>
      <c r="U17" s="1012">
        <v>7838746.732653302</v>
      </c>
      <c r="V17" s="1012">
        <v>29196473.197959904</v>
      </c>
    </row>
    <row r="18" spans="1:22" ht="14.25">
      <c r="A18" s="413" t="s">
        <v>374</v>
      </c>
      <c r="B18" s="414">
        <v>600000</v>
      </c>
      <c r="C18" s="414">
        <v>300000</v>
      </c>
      <c r="D18" s="414">
        <v>900000</v>
      </c>
      <c r="E18" s="414">
        <v>300000</v>
      </c>
      <c r="F18" s="414">
        <v>2100000</v>
      </c>
      <c r="G18" s="414">
        <v>900000</v>
      </c>
      <c r="H18" s="414">
        <v>3000000</v>
      </c>
      <c r="I18" s="414"/>
      <c r="J18" s="1101"/>
      <c r="K18" s="1102"/>
      <c r="L18" s="1103">
        <f t="shared" si="1"/>
        <v>3000000</v>
      </c>
      <c r="M18" s="1104">
        <v>2700000</v>
      </c>
      <c r="N18" s="1103">
        <v>0</v>
      </c>
      <c r="O18" s="1103">
        <v>0</v>
      </c>
      <c r="P18" s="1103">
        <f t="shared" si="2"/>
        <v>2700000</v>
      </c>
      <c r="Q18" s="1105">
        <f t="shared" si="3"/>
        <v>0.9</v>
      </c>
      <c r="R18" s="1014">
        <v>0</v>
      </c>
      <c r="S18" s="1012">
        <v>900000</v>
      </c>
      <c r="T18" s="1012">
        <v>0</v>
      </c>
      <c r="U18" s="1012">
        <v>0</v>
      </c>
      <c r="V18" s="1012">
        <v>900000</v>
      </c>
    </row>
    <row r="19" spans="1:22" ht="14.25">
      <c r="A19" s="413" t="s">
        <v>31</v>
      </c>
      <c r="B19" s="564">
        <v>29463000</v>
      </c>
      <c r="C19" s="1016"/>
      <c r="D19" s="564">
        <v>21234144</v>
      </c>
      <c r="E19" s="564"/>
      <c r="F19" s="414">
        <v>50697144</v>
      </c>
      <c r="G19" s="414">
        <v>52960000</v>
      </c>
      <c r="H19" s="414">
        <v>103657144</v>
      </c>
      <c r="I19" s="414"/>
      <c r="J19" s="1101"/>
      <c r="K19" s="1102"/>
      <c r="L19" s="1103">
        <f t="shared" si="1"/>
        <v>103657144</v>
      </c>
      <c r="M19" s="1104">
        <v>49312420</v>
      </c>
      <c r="N19" s="1103">
        <v>25634984</v>
      </c>
      <c r="O19" s="1103">
        <v>26346216</v>
      </c>
      <c r="P19" s="1103">
        <f t="shared" si="2"/>
        <v>101293620</v>
      </c>
      <c r="Q19" s="1105">
        <f t="shared" si="3"/>
        <v>0.9771986386196402</v>
      </c>
      <c r="R19" s="1014">
        <v>4417304</v>
      </c>
      <c r="S19" s="1012">
        <v>5398536</v>
      </c>
      <c r="T19" s="1012">
        <v>5308536.4</v>
      </c>
      <c r="U19" s="1012">
        <v>6019768</v>
      </c>
      <c r="V19" s="1012">
        <v>21144144.4</v>
      </c>
    </row>
    <row r="20" spans="1:22" ht="15">
      <c r="A20" s="423" t="s">
        <v>363</v>
      </c>
      <c r="B20" s="412">
        <f aca="true" t="shared" si="4" ref="B20:H20">SUM(B9:B19)</f>
        <v>904215278.2544763</v>
      </c>
      <c r="C20" s="412">
        <f t="shared" si="4"/>
        <v>202018180.97336727</v>
      </c>
      <c r="D20" s="412">
        <f t="shared" si="4"/>
        <v>905537584.6165622</v>
      </c>
      <c r="E20" s="412">
        <f t="shared" si="4"/>
        <v>240365203.60364738</v>
      </c>
      <c r="F20" s="412">
        <f t="shared" si="4"/>
        <v>2252136247.448053</v>
      </c>
      <c r="G20" s="412">
        <f t="shared" si="4"/>
        <v>238143019.2262829</v>
      </c>
      <c r="H20" s="412">
        <f t="shared" si="4"/>
        <v>2490279266.674336</v>
      </c>
      <c r="I20" s="412"/>
      <c r="J20" s="1106">
        <f>SUM(J9:J19)</f>
        <v>-93392973</v>
      </c>
      <c r="K20" s="1097">
        <f>SUM(K9:K19)</f>
        <v>-18915273</v>
      </c>
      <c r="L20" s="1098">
        <f t="shared" si="1"/>
        <v>2377971020.674336</v>
      </c>
      <c r="M20" s="1099">
        <f>SUM(M9:M19)</f>
        <v>1025160001</v>
      </c>
      <c r="N20" s="1099">
        <f>SUM(N9:N19)</f>
        <v>609075365.9874921</v>
      </c>
      <c r="O20" s="1099">
        <f>SUM(O9:O19)</f>
        <v>637625545.9509639</v>
      </c>
      <c r="P20" s="1098">
        <f t="shared" si="2"/>
        <v>2271860912.938456</v>
      </c>
      <c r="Q20" s="1107">
        <f t="shared" si="3"/>
        <v>0.9553778802124386</v>
      </c>
      <c r="R20" s="1014">
        <f>SUM(R9:R19)</f>
        <v>185143117.4981782</v>
      </c>
      <c r="S20" s="1012">
        <f>SUM(S9:S19)</f>
        <v>230636730</v>
      </c>
      <c r="T20" s="1012">
        <f>SUM(T9:T19)</f>
        <v>244991806.89817816</v>
      </c>
      <c r="U20" s="1012">
        <f>SUM(U9:U19)</f>
        <v>245703038.49817815</v>
      </c>
      <c r="V20" s="1012">
        <f>SUM(V9:V19)</f>
        <v>906474692.8945346</v>
      </c>
    </row>
    <row r="21" spans="1:22" ht="15">
      <c r="A21" s="407" t="s">
        <v>32</v>
      </c>
      <c r="B21" s="411"/>
      <c r="C21" s="411"/>
      <c r="D21" s="411"/>
      <c r="E21" s="411"/>
      <c r="F21" s="414"/>
      <c r="G21" s="412"/>
      <c r="H21" s="414"/>
      <c r="I21" s="414"/>
      <c r="J21" s="1101"/>
      <c r="K21" s="1102"/>
      <c r="L21" s="1098"/>
      <c r="M21" s="1099"/>
      <c r="N21" s="1098"/>
      <c r="O21" s="1098"/>
      <c r="P21" s="1098"/>
      <c r="Q21" s="1105"/>
      <c r="R21" s="1014"/>
      <c r="S21" s="1012"/>
      <c r="T21" s="1012"/>
      <c r="U21" s="1012"/>
      <c r="V21" s="1012"/>
    </row>
    <row r="22" spans="1:22" ht="14.25">
      <c r="A22" s="416" t="s">
        <v>52</v>
      </c>
      <c r="B22" s="1094">
        <v>0</v>
      </c>
      <c r="C22" s="1094">
        <v>6000000</v>
      </c>
      <c r="D22" s="1094">
        <v>0</v>
      </c>
      <c r="E22" s="1094">
        <v>0</v>
      </c>
      <c r="F22" s="1094">
        <v>6000000</v>
      </c>
      <c r="G22" s="414">
        <v>60564693.936000004</v>
      </c>
      <c r="H22" s="414">
        <v>66564693.936000004</v>
      </c>
      <c r="I22" s="414"/>
      <c r="J22" s="1101"/>
      <c r="K22" s="1102"/>
      <c r="L22" s="1103">
        <f aca="true" t="shared" si="5" ref="L22:L37">SUM(H22:K22)</f>
        <v>66564693.936000004</v>
      </c>
      <c r="M22" s="1104">
        <v>28699614</v>
      </c>
      <c r="N22" s="1103">
        <v>27796105</v>
      </c>
      <c r="O22" s="1103">
        <v>10068975</v>
      </c>
      <c r="P22" s="1104">
        <f t="shared" si="2"/>
        <v>66564694</v>
      </c>
      <c r="Q22" s="1105">
        <f t="shared" si="3"/>
        <v>1.0000000009614707</v>
      </c>
      <c r="R22" s="1014">
        <v>0</v>
      </c>
      <c r="S22" s="1012">
        <v>0</v>
      </c>
      <c r="T22" s="1012">
        <v>0</v>
      </c>
      <c r="U22" s="1012">
        <v>0</v>
      </c>
      <c r="V22" s="1012">
        <v>0</v>
      </c>
    </row>
    <row r="23" spans="1:22" ht="14.25">
      <c r="A23" s="416" t="s">
        <v>53</v>
      </c>
      <c r="B23" s="1094">
        <v>0</v>
      </c>
      <c r="C23" s="1094">
        <v>0</v>
      </c>
      <c r="D23" s="1094">
        <v>0</v>
      </c>
      <c r="E23" s="1094">
        <v>0</v>
      </c>
      <c r="F23" s="1094">
        <v>0</v>
      </c>
      <c r="G23" s="414">
        <v>6232322.688</v>
      </c>
      <c r="H23" s="414">
        <v>6232322.688</v>
      </c>
      <c r="I23" s="414"/>
      <c r="J23" s="1101"/>
      <c r="K23" s="1102"/>
      <c r="L23" s="1103">
        <f t="shared" si="5"/>
        <v>6232322.688</v>
      </c>
      <c r="M23" s="1104">
        <v>3836480</v>
      </c>
      <c r="N23" s="1103">
        <v>1000000</v>
      </c>
      <c r="O23" s="1103">
        <v>1395843</v>
      </c>
      <c r="P23" s="1104">
        <f t="shared" si="2"/>
        <v>6232323</v>
      </c>
      <c r="Q23" s="1105">
        <f t="shared" si="3"/>
        <v>1.0000000500615926</v>
      </c>
      <c r="R23" s="1014">
        <v>0</v>
      </c>
      <c r="S23" s="1012">
        <v>0</v>
      </c>
      <c r="T23" s="1012">
        <v>0</v>
      </c>
      <c r="U23" s="1012">
        <v>0</v>
      </c>
      <c r="V23" s="1012">
        <v>0</v>
      </c>
    </row>
    <row r="24" spans="1:22" ht="14.25">
      <c r="A24" s="416" t="s">
        <v>54</v>
      </c>
      <c r="B24" s="1094">
        <v>0</v>
      </c>
      <c r="C24" s="1094">
        <v>0</v>
      </c>
      <c r="D24" s="1094">
        <v>4800000</v>
      </c>
      <c r="E24" s="1094">
        <v>0</v>
      </c>
      <c r="F24" s="1094">
        <v>4800000</v>
      </c>
      <c r="G24" s="414">
        <v>16796520</v>
      </c>
      <c r="H24" s="414">
        <v>21596520</v>
      </c>
      <c r="I24" s="414"/>
      <c r="J24" s="1101"/>
      <c r="K24" s="1102"/>
      <c r="L24" s="1103">
        <f t="shared" si="5"/>
        <v>21596520</v>
      </c>
      <c r="M24" s="1104">
        <v>10485828</v>
      </c>
      <c r="N24" s="1103">
        <v>5957124</v>
      </c>
      <c r="O24" s="1103">
        <v>5153568</v>
      </c>
      <c r="P24" s="1104">
        <f t="shared" si="2"/>
        <v>21596520</v>
      </c>
      <c r="Q24" s="1105">
        <f t="shared" si="3"/>
        <v>1</v>
      </c>
      <c r="R24" s="1014">
        <v>578961</v>
      </c>
      <c r="S24" s="1012">
        <v>1182676</v>
      </c>
      <c r="T24" s="1012">
        <v>1200000</v>
      </c>
      <c r="U24" s="1012">
        <v>1838363</v>
      </c>
      <c r="V24" s="1012">
        <v>4800000</v>
      </c>
    </row>
    <row r="25" spans="1:22" ht="14.25">
      <c r="A25" s="416" t="s">
        <v>33</v>
      </c>
      <c r="B25" s="1094">
        <v>6000000</v>
      </c>
      <c r="C25" s="1094">
        <v>6000000</v>
      </c>
      <c r="D25" s="1094">
        <v>6000000</v>
      </c>
      <c r="E25" s="1094">
        <v>6000000</v>
      </c>
      <c r="F25" s="414">
        <v>24000000</v>
      </c>
      <c r="G25" s="414">
        <v>27647654.3248</v>
      </c>
      <c r="H25" s="414">
        <v>51647654.3248</v>
      </c>
      <c r="I25" s="414"/>
      <c r="J25" s="1101"/>
      <c r="K25" s="1102"/>
      <c r="L25" s="1103">
        <f t="shared" si="5"/>
        <v>51647654.3248</v>
      </c>
      <c r="M25" s="1104">
        <v>16454735</v>
      </c>
      <c r="N25" s="1103">
        <v>12708743</v>
      </c>
      <c r="O25" s="1103">
        <v>13708743</v>
      </c>
      <c r="P25" s="1104">
        <f t="shared" si="2"/>
        <v>42872221</v>
      </c>
      <c r="Q25" s="1105">
        <f t="shared" si="3"/>
        <v>0.8300903799112859</v>
      </c>
      <c r="R25" s="1014">
        <v>1283334</v>
      </c>
      <c r="S25" s="1012">
        <v>1472500</v>
      </c>
      <c r="T25" s="1012">
        <v>1500000</v>
      </c>
      <c r="U25" s="1012">
        <v>1500000</v>
      </c>
      <c r="V25" s="1012">
        <v>5755834</v>
      </c>
    </row>
    <row r="26" spans="1:22" ht="14.25">
      <c r="A26" s="416" t="s">
        <v>55</v>
      </c>
      <c r="B26" s="414">
        <v>9027472.0332</v>
      </c>
      <c r="C26" s="414">
        <v>6261350.4887999995</v>
      </c>
      <c r="D26" s="414">
        <v>12176287.3868</v>
      </c>
      <c r="E26" s="414">
        <v>8892342.0556</v>
      </c>
      <c r="F26" s="414">
        <v>36357451.9644</v>
      </c>
      <c r="G26" s="414">
        <v>25647202.2504</v>
      </c>
      <c r="H26" s="414">
        <v>62004654.2148</v>
      </c>
      <c r="I26" s="414"/>
      <c r="J26" s="1101"/>
      <c r="K26" s="1102"/>
      <c r="L26" s="1103">
        <f t="shared" si="5"/>
        <v>62004654.2148</v>
      </c>
      <c r="M26" s="1104">
        <v>24356615</v>
      </c>
      <c r="N26" s="1103">
        <v>20500000</v>
      </c>
      <c r="O26" s="1103">
        <v>13710000</v>
      </c>
      <c r="P26" s="1104">
        <f t="shared" si="2"/>
        <v>58566615</v>
      </c>
      <c r="Q26" s="1105">
        <f t="shared" si="3"/>
        <v>0.9445519169756232</v>
      </c>
      <c r="R26" s="1014">
        <v>990558</v>
      </c>
      <c r="S26" s="1012">
        <v>1366557</v>
      </c>
      <c r="T26" s="1012">
        <v>5616000</v>
      </c>
      <c r="U26" s="1012">
        <v>1920000</v>
      </c>
      <c r="V26" s="1012">
        <v>9893115</v>
      </c>
    </row>
    <row r="27" spans="1:22" ht="14.25">
      <c r="A27" s="416" t="s">
        <v>34</v>
      </c>
      <c r="B27" s="1094">
        <v>2280080</v>
      </c>
      <c r="C27" s="1094">
        <v>0</v>
      </c>
      <c r="D27" s="1094">
        <v>1627977.12</v>
      </c>
      <c r="E27" s="1094">
        <v>0</v>
      </c>
      <c r="F27" s="414">
        <v>3908057.12</v>
      </c>
      <c r="G27" s="414">
        <v>40544117.2416</v>
      </c>
      <c r="H27" s="414">
        <v>44452174.3616</v>
      </c>
      <c r="I27" s="414"/>
      <c r="J27" s="1101"/>
      <c r="K27" s="1102"/>
      <c r="L27" s="1103">
        <f t="shared" si="5"/>
        <v>44452174.3616</v>
      </c>
      <c r="M27" s="1104">
        <v>22959006</v>
      </c>
      <c r="N27" s="1103">
        <v>10376199</v>
      </c>
      <c r="O27" s="1103">
        <v>10399659</v>
      </c>
      <c r="P27" s="1104">
        <f t="shared" si="2"/>
        <v>43734864</v>
      </c>
      <c r="Q27" s="1105">
        <f t="shared" si="3"/>
        <v>0.9838633234053981</v>
      </c>
      <c r="R27" s="1014">
        <v>400554.28</v>
      </c>
      <c r="S27" s="1012">
        <v>400554</v>
      </c>
      <c r="T27" s="1012">
        <v>410000</v>
      </c>
      <c r="U27" s="1012">
        <v>421110</v>
      </c>
      <c r="V27" s="1012">
        <v>1632218.28</v>
      </c>
    </row>
    <row r="28" spans="1:22" ht="14.25">
      <c r="A28" s="416" t="s">
        <v>387</v>
      </c>
      <c r="B28" s="414">
        <v>10400000</v>
      </c>
      <c r="C28" s="414">
        <v>15000000</v>
      </c>
      <c r="D28" s="414">
        <v>158060000</v>
      </c>
      <c r="E28" s="1094">
        <v>10000000</v>
      </c>
      <c r="F28" s="414">
        <v>193460000</v>
      </c>
      <c r="G28" s="414">
        <v>12000000</v>
      </c>
      <c r="H28" s="414">
        <v>205460000</v>
      </c>
      <c r="I28" s="414"/>
      <c r="J28" s="1101"/>
      <c r="K28" s="1102"/>
      <c r="L28" s="1103">
        <f t="shared" si="5"/>
        <v>205460000</v>
      </c>
      <c r="M28" s="1104">
        <v>89601026</v>
      </c>
      <c r="N28" s="1103">
        <v>57000000</v>
      </c>
      <c r="O28" s="1103">
        <v>55797164</v>
      </c>
      <c r="P28" s="1104">
        <f t="shared" si="2"/>
        <v>202398190</v>
      </c>
      <c r="Q28" s="1105">
        <f t="shared" si="3"/>
        <v>0.9850977805898958</v>
      </c>
      <c r="R28" s="1014">
        <v>34959135</v>
      </c>
      <c r="S28" s="1012">
        <v>40802641</v>
      </c>
      <c r="T28" s="1012">
        <v>45000000</v>
      </c>
      <c r="U28" s="1012">
        <v>37298224</v>
      </c>
      <c r="V28" s="1012">
        <v>158060000</v>
      </c>
    </row>
    <row r="29" spans="1:22" ht="14.25">
      <c r="A29" s="416" t="s">
        <v>297</v>
      </c>
      <c r="B29" s="414">
        <v>19000000</v>
      </c>
      <c r="C29" s="1094">
        <v>0</v>
      </c>
      <c r="D29" s="414">
        <v>17000000</v>
      </c>
      <c r="E29" s="1094">
        <v>0</v>
      </c>
      <c r="F29" s="414">
        <v>36000000</v>
      </c>
      <c r="G29" s="414">
        <v>9771179.2</v>
      </c>
      <c r="H29" s="414">
        <v>45771179.2</v>
      </c>
      <c r="I29" s="414"/>
      <c r="J29" s="1101"/>
      <c r="K29" s="1102">
        <v>-5600306</v>
      </c>
      <c r="L29" s="1103">
        <f t="shared" si="5"/>
        <v>40170873.2</v>
      </c>
      <c r="M29" s="1104">
        <v>22115010</v>
      </c>
      <c r="N29" s="1103">
        <v>6000000</v>
      </c>
      <c r="O29" s="1103">
        <v>11992700</v>
      </c>
      <c r="P29" s="1104">
        <f t="shared" si="2"/>
        <v>40107710</v>
      </c>
      <c r="Q29" s="1105">
        <f t="shared" si="3"/>
        <v>0.9984276368679981</v>
      </c>
      <c r="R29" s="1014">
        <v>1549694</v>
      </c>
      <c r="S29" s="1012">
        <v>4250000</v>
      </c>
      <c r="T29" s="1012">
        <v>1600000</v>
      </c>
      <c r="U29" s="1012">
        <v>4000000</v>
      </c>
      <c r="V29" s="1012">
        <v>11399694</v>
      </c>
    </row>
    <row r="30" spans="1:22" ht="14.25">
      <c r="A30" s="416" t="s">
        <v>35</v>
      </c>
      <c r="B30" s="414">
        <v>40000000</v>
      </c>
      <c r="C30" s="1094">
        <v>3000000</v>
      </c>
      <c r="D30" s="1094">
        <v>30000000</v>
      </c>
      <c r="E30" s="1094">
        <v>15000000</v>
      </c>
      <c r="F30" s="414">
        <v>88000000</v>
      </c>
      <c r="G30" s="414">
        <v>20728000</v>
      </c>
      <c r="H30" s="414">
        <v>108728000</v>
      </c>
      <c r="I30" s="414"/>
      <c r="J30" s="1101"/>
      <c r="K30" s="1102">
        <v>5600306</v>
      </c>
      <c r="L30" s="1103">
        <f t="shared" si="5"/>
        <v>114328306</v>
      </c>
      <c r="M30" s="1104">
        <v>54772342</v>
      </c>
      <c r="N30" s="1103">
        <v>29809778</v>
      </c>
      <c r="O30" s="1103">
        <v>29655189</v>
      </c>
      <c r="P30" s="1104">
        <f t="shared" si="2"/>
        <v>114237309</v>
      </c>
      <c r="Q30" s="1105">
        <f t="shared" si="3"/>
        <v>0.9992040728741315</v>
      </c>
      <c r="R30" s="1014">
        <v>8000000</v>
      </c>
      <c r="S30" s="1012">
        <v>8239133.5</v>
      </c>
      <c r="T30" s="1012">
        <v>10500000</v>
      </c>
      <c r="U30" s="1012">
        <v>8861172</v>
      </c>
      <c r="V30" s="1012">
        <v>35600305.5</v>
      </c>
    </row>
    <row r="31" spans="1:22" ht="14.25">
      <c r="A31" s="416" t="s">
        <v>51</v>
      </c>
      <c r="B31" s="411"/>
      <c r="C31" s="1094">
        <v>0</v>
      </c>
      <c r="D31" s="1094">
        <v>1500000</v>
      </c>
      <c r="E31" s="1094">
        <v>0</v>
      </c>
      <c r="F31" s="414">
        <v>1500000</v>
      </c>
      <c r="G31" s="414">
        <v>3109200</v>
      </c>
      <c r="H31" s="414">
        <v>4609200</v>
      </c>
      <c r="I31" s="414"/>
      <c r="J31" s="1101"/>
      <c r="K31" s="1102"/>
      <c r="L31" s="1103">
        <f t="shared" si="5"/>
        <v>4609200</v>
      </c>
      <c r="M31" s="1104">
        <v>1993178</v>
      </c>
      <c r="N31" s="1103">
        <v>1250000</v>
      </c>
      <c r="O31" s="1103">
        <v>1336922</v>
      </c>
      <c r="P31" s="1104">
        <f t="shared" si="2"/>
        <v>4580100</v>
      </c>
      <c r="Q31" s="1105">
        <f t="shared" si="3"/>
        <v>0.9936865399635512</v>
      </c>
      <c r="R31" s="1014">
        <v>314200</v>
      </c>
      <c r="S31" s="1012">
        <v>348878</v>
      </c>
      <c r="T31" s="1012">
        <v>375000</v>
      </c>
      <c r="U31" s="1012">
        <v>461922</v>
      </c>
      <c r="V31" s="1012">
        <v>1500000</v>
      </c>
    </row>
    <row r="32" spans="1:22" ht="14.25">
      <c r="A32" s="416" t="s">
        <v>57</v>
      </c>
      <c r="B32" s="1094">
        <v>30000000</v>
      </c>
      <c r="C32" s="1094">
        <v>0</v>
      </c>
      <c r="D32" s="1094">
        <v>22700000</v>
      </c>
      <c r="E32" s="1094">
        <v>0</v>
      </c>
      <c r="F32" s="414">
        <v>52700000</v>
      </c>
      <c r="G32" s="414">
        <v>22500000</v>
      </c>
      <c r="H32" s="414">
        <v>75200000</v>
      </c>
      <c r="I32" s="414"/>
      <c r="J32" s="1101"/>
      <c r="K32" s="1102"/>
      <c r="L32" s="1103">
        <f t="shared" si="5"/>
        <v>75200000</v>
      </c>
      <c r="M32" s="1104">
        <v>16136970</v>
      </c>
      <c r="N32" s="1103">
        <v>6079522</v>
      </c>
      <c r="O32" s="1103">
        <v>23925000</v>
      </c>
      <c r="P32" s="1104">
        <f t="shared" si="2"/>
        <v>46141492</v>
      </c>
      <c r="Q32" s="1105">
        <f t="shared" si="3"/>
        <v>0.6135836702127659</v>
      </c>
      <c r="R32" s="1014">
        <v>6185545</v>
      </c>
      <c r="S32" s="1012">
        <v>3570000</v>
      </c>
      <c r="T32" s="1012">
        <v>4000000</v>
      </c>
      <c r="U32" s="1012">
        <v>17000000</v>
      </c>
      <c r="V32" s="1012">
        <v>30755545</v>
      </c>
    </row>
    <row r="33" spans="1:22" ht="14.25">
      <c r="A33" s="416" t="s">
        <v>58</v>
      </c>
      <c r="B33" s="1094">
        <v>0</v>
      </c>
      <c r="C33" s="1094">
        <v>0</v>
      </c>
      <c r="D33" s="1094">
        <v>0</v>
      </c>
      <c r="E33" s="1094">
        <v>0</v>
      </c>
      <c r="F33" s="414">
        <v>0</v>
      </c>
      <c r="G33" s="414">
        <v>18655200</v>
      </c>
      <c r="H33" s="414">
        <v>18655200</v>
      </c>
      <c r="I33" s="414"/>
      <c r="J33" s="1101"/>
      <c r="K33" s="1102"/>
      <c r="L33" s="1103">
        <f t="shared" si="5"/>
        <v>18655200</v>
      </c>
      <c r="M33" s="1104">
        <v>4514635</v>
      </c>
      <c r="N33" s="1103">
        <v>4000000</v>
      </c>
      <c r="O33" s="1103">
        <v>5500000</v>
      </c>
      <c r="P33" s="1104">
        <f t="shared" si="2"/>
        <v>14014635</v>
      </c>
      <c r="Q33" s="1105">
        <f t="shared" si="3"/>
        <v>0.7512454972340152</v>
      </c>
      <c r="R33" s="1014">
        <v>0</v>
      </c>
      <c r="S33" s="1012">
        <v>0</v>
      </c>
      <c r="T33" s="1012">
        <v>0</v>
      </c>
      <c r="U33" s="1012">
        <v>0</v>
      </c>
      <c r="V33" s="1012">
        <v>0</v>
      </c>
    </row>
    <row r="34" spans="1:22" ht="14.25">
      <c r="A34" s="416" t="s">
        <v>59</v>
      </c>
      <c r="B34" s="1094">
        <v>0</v>
      </c>
      <c r="C34" s="1094">
        <v>0</v>
      </c>
      <c r="D34" s="1094">
        <v>36000000</v>
      </c>
      <c r="E34" s="1094">
        <v>0</v>
      </c>
      <c r="F34" s="414">
        <v>36000000</v>
      </c>
      <c r="G34" s="414">
        <v>65000000</v>
      </c>
      <c r="H34" s="414">
        <v>101000000</v>
      </c>
      <c r="I34" s="414"/>
      <c r="J34" s="1101"/>
      <c r="K34" s="1102">
        <v>-7942063</v>
      </c>
      <c r="L34" s="1103">
        <f t="shared" si="5"/>
        <v>93057937</v>
      </c>
      <c r="M34" s="1104">
        <v>37898162</v>
      </c>
      <c r="N34" s="1103">
        <v>19935687</v>
      </c>
      <c r="O34" s="1103">
        <v>24250000</v>
      </c>
      <c r="P34" s="1104">
        <f t="shared" si="2"/>
        <v>82083849</v>
      </c>
      <c r="Q34" s="1105">
        <f t="shared" si="3"/>
        <v>0.8820725200473765</v>
      </c>
      <c r="R34" s="1014">
        <v>4985010</v>
      </c>
      <c r="S34" s="1012">
        <v>7072926.600000001</v>
      </c>
      <c r="T34" s="1012">
        <v>8000000</v>
      </c>
      <c r="U34" s="1012">
        <v>8000000</v>
      </c>
      <c r="V34" s="1012">
        <v>28057936.6</v>
      </c>
    </row>
    <row r="35" spans="1:22" ht="14.25">
      <c r="A35" s="416" t="s">
        <v>60</v>
      </c>
      <c r="B35" s="1094">
        <v>0</v>
      </c>
      <c r="C35" s="1094">
        <v>0</v>
      </c>
      <c r="D35" s="1094">
        <v>0</v>
      </c>
      <c r="E35" s="1094">
        <v>0</v>
      </c>
      <c r="F35" s="414">
        <v>0</v>
      </c>
      <c r="G35" s="414">
        <v>34335000</v>
      </c>
      <c r="H35" s="414">
        <v>34335000</v>
      </c>
      <c r="I35" s="414"/>
      <c r="J35" s="1101"/>
      <c r="K35" s="1102"/>
      <c r="L35" s="1103">
        <f t="shared" si="5"/>
        <v>34335000</v>
      </c>
      <c r="M35" s="1104">
        <v>0</v>
      </c>
      <c r="N35" s="1103">
        <v>417600</v>
      </c>
      <c r="O35" s="1103">
        <v>25751913</v>
      </c>
      <c r="P35" s="1104">
        <f t="shared" si="2"/>
        <v>26169513</v>
      </c>
      <c r="Q35" s="1105">
        <f t="shared" si="3"/>
        <v>0.7621818261249453</v>
      </c>
      <c r="R35" s="1014">
        <v>0</v>
      </c>
      <c r="S35" s="1012">
        <v>0</v>
      </c>
      <c r="T35" s="1012">
        <v>0</v>
      </c>
      <c r="U35" s="1012">
        <v>0</v>
      </c>
      <c r="V35" s="1012">
        <v>0</v>
      </c>
    </row>
    <row r="36" spans="1:22" ht="15">
      <c r="A36" s="423" t="s">
        <v>364</v>
      </c>
      <c r="B36" s="412">
        <f aca="true" t="shared" si="6" ref="B36:H36">SUM(B22:B35)</f>
        <v>116707552.0332</v>
      </c>
      <c r="C36" s="412">
        <f t="shared" si="6"/>
        <v>36261350.488800004</v>
      </c>
      <c r="D36" s="412">
        <f t="shared" si="6"/>
        <v>289864264.5068</v>
      </c>
      <c r="E36" s="412">
        <f t="shared" si="6"/>
        <v>39892342.0556</v>
      </c>
      <c r="F36" s="412">
        <f t="shared" si="6"/>
        <v>482725509.0844</v>
      </c>
      <c r="G36" s="412">
        <f t="shared" si="6"/>
        <v>363531089.6408</v>
      </c>
      <c r="H36" s="412">
        <f t="shared" si="6"/>
        <v>846256598.7251999</v>
      </c>
      <c r="I36" s="412"/>
      <c r="J36" s="1106"/>
      <c r="K36" s="1097">
        <f>SUM(K22:K35)</f>
        <v>-7942063</v>
      </c>
      <c r="L36" s="1098">
        <f t="shared" si="5"/>
        <v>838314535.7251999</v>
      </c>
      <c r="M36" s="1099">
        <f>SUM(M22:M35)</f>
        <v>333823601</v>
      </c>
      <c r="N36" s="1099">
        <f>SUM(N22:N35)</f>
        <v>202830758</v>
      </c>
      <c r="O36" s="1099">
        <f>SUM(O22:O35)</f>
        <v>232645676</v>
      </c>
      <c r="P36" s="1099">
        <f t="shared" si="2"/>
        <v>769300035</v>
      </c>
      <c r="Q36" s="1107">
        <f t="shared" si="3"/>
        <v>0.9176746939434879</v>
      </c>
      <c r="R36" s="1014">
        <f>SUM(R22:R35)</f>
        <v>59246991.28</v>
      </c>
      <c r="S36" s="1012">
        <f>SUM(S22:S35)</f>
        <v>68705866.1</v>
      </c>
      <c r="T36" s="1012">
        <f>SUM(T22:T35)</f>
        <v>78201000</v>
      </c>
      <c r="U36" s="1012">
        <f>SUM(U22:U35)</f>
        <v>81300791</v>
      </c>
      <c r="V36" s="1012">
        <f>SUM(V22:V35)</f>
        <v>287454648.38</v>
      </c>
    </row>
    <row r="37" spans="1:22" ht="15">
      <c r="A37" s="423" t="s">
        <v>365</v>
      </c>
      <c r="B37" s="412">
        <f aca="true" t="shared" si="7" ref="B37:H37">+B36+B20</f>
        <v>1020922830.2876763</v>
      </c>
      <c r="C37" s="412">
        <f t="shared" si="7"/>
        <v>238279531.46216726</v>
      </c>
      <c r="D37" s="412">
        <f t="shared" si="7"/>
        <v>1195401849.1233623</v>
      </c>
      <c r="E37" s="412">
        <f t="shared" si="7"/>
        <v>280257545.6592474</v>
      </c>
      <c r="F37" s="412">
        <f t="shared" si="7"/>
        <v>2734861756.532453</v>
      </c>
      <c r="G37" s="412">
        <f t="shared" si="7"/>
        <v>601674108.8670828</v>
      </c>
      <c r="H37" s="412">
        <f t="shared" si="7"/>
        <v>3336535865.399536</v>
      </c>
      <c r="I37" s="412"/>
      <c r="J37" s="1106">
        <f>+J36+J20</f>
        <v>-93392973</v>
      </c>
      <c r="K37" s="1097">
        <f>+K36+K20</f>
        <v>-26857336</v>
      </c>
      <c r="L37" s="1098">
        <f t="shared" si="5"/>
        <v>3216285556.399536</v>
      </c>
      <c r="M37" s="1099">
        <f>+M36+M20</f>
        <v>1358983602</v>
      </c>
      <c r="N37" s="1099">
        <f>+N36+N20</f>
        <v>811906123.9874921</v>
      </c>
      <c r="O37" s="1099">
        <f>+O36+O20</f>
        <v>870271221.9509639</v>
      </c>
      <c r="P37" s="1099">
        <f t="shared" si="2"/>
        <v>3041160947.938456</v>
      </c>
      <c r="Q37" s="1107">
        <f t="shared" si="3"/>
        <v>0.9455506653901954</v>
      </c>
      <c r="R37" s="1015">
        <f>+R36+R20</f>
        <v>244390108.77817822</v>
      </c>
      <c r="S37" s="1013">
        <f>+S36+S20</f>
        <v>299342596.1</v>
      </c>
      <c r="T37" s="1013">
        <f>+T36+T20</f>
        <v>323192806.89817816</v>
      </c>
      <c r="U37" s="1013">
        <f>+U36+U20</f>
        <v>327003829.4981781</v>
      </c>
      <c r="V37" s="1013">
        <f>+V36+V20</f>
        <v>1193929341.2745347</v>
      </c>
    </row>
    <row r="38" spans="1:17" ht="14.25" customHeight="1">
      <c r="A38" s="416"/>
      <c r="B38" s="411"/>
      <c r="C38" s="411"/>
      <c r="D38" s="411"/>
      <c r="E38" s="411"/>
      <c r="F38" s="411"/>
      <c r="G38" s="411"/>
      <c r="H38" s="411"/>
      <c r="I38" s="411"/>
      <c r="J38" s="1091"/>
      <c r="K38" s="1108"/>
      <c r="L38" s="1098"/>
      <c r="M38" s="1099"/>
      <c r="N38" s="1098"/>
      <c r="O38" s="1098"/>
      <c r="P38" s="1099"/>
      <c r="Q38" s="1105"/>
    </row>
    <row r="39" spans="1:17" ht="15">
      <c r="A39" s="423" t="s">
        <v>21</v>
      </c>
      <c r="B39" s="412">
        <f>+B41</f>
        <v>3004326552.7281823</v>
      </c>
      <c r="C39" s="412">
        <f>+C113</f>
        <v>680455080</v>
      </c>
      <c r="D39" s="412">
        <f>+D142</f>
        <v>4751647842.119829</v>
      </c>
      <c r="E39" s="412">
        <f>+E71</f>
        <v>2862575003.9334</v>
      </c>
      <c r="F39" s="412">
        <f>+F41+F71+F113+F142</f>
        <v>11299004478.781412</v>
      </c>
      <c r="G39" s="412">
        <v>0</v>
      </c>
      <c r="H39" s="412">
        <f>F39+G39</f>
        <v>11299004478.781412</v>
      </c>
      <c r="I39" s="412">
        <f>+I41</f>
        <v>30000000</v>
      </c>
      <c r="J39" s="1106">
        <f>+J41+J71+J113+J142+J173+J175</f>
        <v>-449492013</v>
      </c>
      <c r="K39" s="1097">
        <f>+K41+K71+K113+K142</f>
        <v>-50430509</v>
      </c>
      <c r="L39" s="1098">
        <f>SUM(H39:K39)</f>
        <v>10829081956.781412</v>
      </c>
      <c r="M39" s="1099">
        <f>+M41+M71+M113+M142</f>
        <v>4422452778.5</v>
      </c>
      <c r="N39" s="1099">
        <f>+N41+N71+N113+N142</f>
        <v>2769208689</v>
      </c>
      <c r="O39" s="1099">
        <f>+O41+O71+O113+O142</f>
        <v>3234271486</v>
      </c>
      <c r="P39" s="1099">
        <f t="shared" si="2"/>
        <v>10425932953.5</v>
      </c>
      <c r="Q39" s="1107">
        <f t="shared" si="3"/>
        <v>0.9627716361469634</v>
      </c>
    </row>
    <row r="40" spans="1:17" ht="15">
      <c r="A40" s="416"/>
      <c r="B40" s="411"/>
      <c r="C40" s="411"/>
      <c r="D40" s="411"/>
      <c r="E40" s="411"/>
      <c r="F40" s="414"/>
      <c r="G40" s="411"/>
      <c r="H40" s="411"/>
      <c r="I40" s="411"/>
      <c r="J40" s="1091"/>
      <c r="K40" s="1016"/>
      <c r="L40" s="1098"/>
      <c r="M40" s="1099"/>
      <c r="N40" s="1098"/>
      <c r="O40" s="1098"/>
      <c r="P40" s="1099"/>
      <c r="Q40" s="1105"/>
    </row>
    <row r="41" spans="1:17" ht="15">
      <c r="A41" s="407" t="s">
        <v>9</v>
      </c>
      <c r="B41" s="1109">
        <f>+B42+B53+B59+B64</f>
        <v>3004326552.7281823</v>
      </c>
      <c r="C41" s="412"/>
      <c r="D41" s="412"/>
      <c r="E41" s="418"/>
      <c r="F41" s="412">
        <f aca="true" t="shared" si="8" ref="F41:F57">+B41+C41+D41+E41</f>
        <v>3004326552.7281823</v>
      </c>
      <c r="G41" s="418"/>
      <c r="H41" s="412">
        <f aca="true" t="shared" si="9" ref="H41:H57">F41+G41</f>
        <v>3004326552.7281823</v>
      </c>
      <c r="I41" s="412">
        <f>+I64</f>
        <v>30000000</v>
      </c>
      <c r="J41" s="1106">
        <f>+J42+J53+J59+J64</f>
        <v>-556281159</v>
      </c>
      <c r="K41" s="1110">
        <f>+K42+K53+K59+K64</f>
        <v>-408782572</v>
      </c>
      <c r="L41" s="1098">
        <f aca="true" t="shared" si="10" ref="L41:L69">SUM(H41:K41)</f>
        <v>2069262821.7281823</v>
      </c>
      <c r="M41" s="1099">
        <f>+M42+M53+M59+M64</f>
        <v>662771721.9999999</v>
      </c>
      <c r="N41" s="1099">
        <f>+N42+N53+N59+N64</f>
        <v>719252462</v>
      </c>
      <c r="O41" s="1099">
        <f>+O42+O53+O59+O64</f>
        <v>681618718</v>
      </c>
      <c r="P41" s="1099">
        <f t="shared" si="2"/>
        <v>2063642902</v>
      </c>
      <c r="Q41" s="1107">
        <f t="shared" si="3"/>
        <v>0.9972840957324653</v>
      </c>
    </row>
    <row r="42" spans="1:17" s="939" customFormat="1" ht="15.75" customHeight="1">
      <c r="A42" s="417" t="s">
        <v>411</v>
      </c>
      <c r="B42" s="412">
        <f>+B43+B46+B49+B50+B51+B52</f>
        <v>2260494815.4841824</v>
      </c>
      <c r="C42" s="418"/>
      <c r="D42" s="418"/>
      <c r="E42" s="418"/>
      <c r="F42" s="412">
        <f t="shared" si="8"/>
        <v>2260494815.4841824</v>
      </c>
      <c r="G42" s="418"/>
      <c r="H42" s="412">
        <f t="shared" si="9"/>
        <v>2260494815.4841824</v>
      </c>
      <c r="I42" s="412"/>
      <c r="J42" s="1106">
        <f>SUM(J43+J46+J49+J50+J51+J52)</f>
        <v>-566281159</v>
      </c>
      <c r="K42" s="1097">
        <f>+K43+K46+K49+K50+K51+K52</f>
        <v>-396131389</v>
      </c>
      <c r="L42" s="1098">
        <f t="shared" si="10"/>
        <v>1298082267.4841824</v>
      </c>
      <c r="M42" s="1099">
        <f>+M43+M46+M49+M51+M50+M52</f>
        <v>416107572.9999999</v>
      </c>
      <c r="N42" s="1099">
        <f>+N43+N46+N49+N51+N50+N52</f>
        <v>501664418</v>
      </c>
      <c r="O42" s="1099">
        <f>+O43+O46+O49+O51+O50+O52</f>
        <v>380310277</v>
      </c>
      <c r="P42" s="1099">
        <f t="shared" si="2"/>
        <v>1298082268</v>
      </c>
      <c r="Q42" s="1107">
        <f t="shared" si="3"/>
        <v>1.000000000397369</v>
      </c>
    </row>
    <row r="43" spans="1:17" s="939" customFormat="1" ht="15" customHeight="1" hidden="1" outlineLevel="1">
      <c r="A43" s="565" t="s">
        <v>632</v>
      </c>
      <c r="B43" s="420">
        <f>+B44+B45</f>
        <v>1231204407.7193222</v>
      </c>
      <c r="C43" s="418"/>
      <c r="D43" s="418"/>
      <c r="E43" s="418"/>
      <c r="F43" s="412">
        <f t="shared" si="8"/>
        <v>1231204407.7193222</v>
      </c>
      <c r="G43" s="418"/>
      <c r="H43" s="412">
        <f t="shared" si="9"/>
        <v>1231204407.7193222</v>
      </c>
      <c r="I43" s="564"/>
      <c r="J43" s="1111"/>
      <c r="K43" s="1097">
        <f>+K44+K45</f>
        <v>-184131389</v>
      </c>
      <c r="L43" s="1098">
        <f t="shared" si="10"/>
        <v>1047073018.7193222</v>
      </c>
      <c r="M43" s="1099">
        <f>+M44+M45</f>
        <v>317015240.9999999</v>
      </c>
      <c r="N43" s="1099">
        <f>+N44+N45</f>
        <v>435531481</v>
      </c>
      <c r="O43" s="1099">
        <f>+O44+O45</f>
        <v>294526298</v>
      </c>
      <c r="P43" s="1099">
        <f t="shared" si="2"/>
        <v>1047073019.9999999</v>
      </c>
      <c r="Q43" s="1107">
        <f t="shared" si="3"/>
        <v>1.0000000012231025</v>
      </c>
    </row>
    <row r="44" spans="1:17" s="939" customFormat="1" ht="15" customHeight="1" hidden="1" outlineLevel="2">
      <c r="A44" s="565" t="s">
        <v>564</v>
      </c>
      <c r="B44" s="564">
        <v>775658776.863173</v>
      </c>
      <c r="C44" s="418"/>
      <c r="D44" s="418"/>
      <c r="E44" s="418"/>
      <c r="F44" s="564">
        <f t="shared" si="8"/>
        <v>775658776.863173</v>
      </c>
      <c r="G44" s="418"/>
      <c r="H44" s="564">
        <f t="shared" si="9"/>
        <v>775658776.863173</v>
      </c>
      <c r="I44" s="564"/>
      <c r="J44" s="1111"/>
      <c r="K44" s="1102">
        <v>-103790153</v>
      </c>
      <c r="L44" s="1103">
        <f t="shared" si="10"/>
        <v>671868623.863173</v>
      </c>
      <c r="M44" s="1104">
        <v>247658251.3999999</v>
      </c>
      <c r="N44" s="1103">
        <v>228548297</v>
      </c>
      <c r="O44" s="1103">
        <v>195662076</v>
      </c>
      <c r="P44" s="1104">
        <f t="shared" si="2"/>
        <v>671868624.3999999</v>
      </c>
      <c r="Q44" s="1105">
        <f t="shared" si="3"/>
        <v>1.0000000007990058</v>
      </c>
    </row>
    <row r="45" spans="1:17" s="939" customFormat="1" ht="15" customHeight="1" hidden="1" outlineLevel="2">
      <c r="A45" s="565" t="s">
        <v>641</v>
      </c>
      <c r="B45" s="564">
        <v>455545630.8561492</v>
      </c>
      <c r="C45" s="418"/>
      <c r="D45" s="418"/>
      <c r="E45" s="418"/>
      <c r="F45" s="564">
        <f t="shared" si="8"/>
        <v>455545630.8561492</v>
      </c>
      <c r="G45" s="418"/>
      <c r="H45" s="564">
        <f t="shared" si="9"/>
        <v>455545630.8561492</v>
      </c>
      <c r="I45" s="564"/>
      <c r="J45" s="1111"/>
      <c r="K45" s="1102">
        <v>-80341236</v>
      </c>
      <c r="L45" s="1103">
        <f t="shared" si="10"/>
        <v>375204394.8561492</v>
      </c>
      <c r="M45" s="1104">
        <v>69356989.60000001</v>
      </c>
      <c r="N45" s="1103">
        <v>206983184</v>
      </c>
      <c r="O45" s="1103">
        <v>98864222</v>
      </c>
      <c r="P45" s="1104">
        <f t="shared" si="2"/>
        <v>375204395.6</v>
      </c>
      <c r="Q45" s="1105">
        <f t="shared" si="3"/>
        <v>1.0000000019825217</v>
      </c>
    </row>
    <row r="46" spans="1:17" s="939" customFormat="1" ht="15" customHeight="1" hidden="1" outlineLevel="1" collapsed="1">
      <c r="A46" s="565" t="s">
        <v>633</v>
      </c>
      <c r="B46" s="420">
        <f>+B47+B48</f>
        <v>768281159.0802602</v>
      </c>
      <c r="C46" s="418"/>
      <c r="D46" s="418"/>
      <c r="E46" s="418"/>
      <c r="F46" s="412">
        <f t="shared" si="8"/>
        <v>768281159.0802602</v>
      </c>
      <c r="G46" s="418"/>
      <c r="H46" s="412">
        <f t="shared" si="9"/>
        <v>768281159.0802602</v>
      </c>
      <c r="I46" s="564"/>
      <c r="J46" s="1111">
        <f>+J47+J48</f>
        <v>-556281159</v>
      </c>
      <c r="K46" s="1097">
        <f>+K47+K48</f>
        <v>-212000000</v>
      </c>
      <c r="L46" s="1098">
        <f t="shared" si="10"/>
        <v>0.08026015758514404</v>
      </c>
      <c r="M46" s="1099">
        <f>+M47+M48</f>
        <v>0</v>
      </c>
      <c r="N46" s="1098">
        <v>0</v>
      </c>
      <c r="O46" s="1098">
        <v>0</v>
      </c>
      <c r="P46" s="1099">
        <f t="shared" si="2"/>
        <v>0</v>
      </c>
      <c r="Q46" s="1105">
        <f t="shared" si="3"/>
        <v>0</v>
      </c>
    </row>
    <row r="47" spans="1:17" s="939" customFormat="1" ht="15" customHeight="1" hidden="1" outlineLevel="2">
      <c r="A47" s="565" t="s">
        <v>564</v>
      </c>
      <c r="B47" s="564">
        <v>614624927.2642082</v>
      </c>
      <c r="C47" s="418"/>
      <c r="D47" s="418"/>
      <c r="E47" s="418"/>
      <c r="F47" s="564">
        <f t="shared" si="8"/>
        <v>614624927.2642082</v>
      </c>
      <c r="G47" s="418"/>
      <c r="H47" s="564">
        <f t="shared" si="9"/>
        <v>614624927.2642082</v>
      </c>
      <c r="I47" s="564"/>
      <c r="J47" s="1111">
        <v>-445024927</v>
      </c>
      <c r="K47" s="1102">
        <v>-169600000</v>
      </c>
      <c r="L47" s="1103">
        <f t="shared" si="10"/>
        <v>0.26420819759368896</v>
      </c>
      <c r="M47" s="1104">
        <v>0</v>
      </c>
      <c r="N47" s="1103">
        <v>0</v>
      </c>
      <c r="O47" s="1103">
        <v>0</v>
      </c>
      <c r="P47" s="1104">
        <f t="shared" si="2"/>
        <v>0</v>
      </c>
      <c r="Q47" s="1105">
        <f t="shared" si="3"/>
        <v>0</v>
      </c>
    </row>
    <row r="48" spans="1:17" s="939" customFormat="1" ht="15" customHeight="1" hidden="1" outlineLevel="2">
      <c r="A48" s="565" t="s">
        <v>641</v>
      </c>
      <c r="B48" s="564">
        <v>153656231.81605196</v>
      </c>
      <c r="C48" s="418"/>
      <c r="D48" s="418"/>
      <c r="E48" s="418"/>
      <c r="F48" s="564">
        <f t="shared" si="8"/>
        <v>153656231.81605196</v>
      </c>
      <c r="G48" s="418"/>
      <c r="H48" s="564">
        <f t="shared" si="9"/>
        <v>153656231.81605196</v>
      </c>
      <c r="I48" s="564"/>
      <c r="J48" s="1111">
        <v>-111256232</v>
      </c>
      <c r="K48" s="1102">
        <v>-42400000</v>
      </c>
      <c r="L48" s="1103">
        <v>0</v>
      </c>
      <c r="M48" s="1104">
        <v>0</v>
      </c>
      <c r="N48" s="1103">
        <v>0</v>
      </c>
      <c r="O48" s="1103">
        <v>0</v>
      </c>
      <c r="P48" s="1104">
        <f t="shared" si="2"/>
        <v>0</v>
      </c>
      <c r="Q48" s="1105">
        <v>0</v>
      </c>
    </row>
    <row r="49" spans="1:17" s="939" customFormat="1" ht="15" customHeight="1" hidden="1" outlineLevel="1" collapsed="1">
      <c r="A49" s="560" t="s">
        <v>426</v>
      </c>
      <c r="B49" s="414">
        <v>142005599.43559998</v>
      </c>
      <c r="C49" s="418"/>
      <c r="D49" s="418"/>
      <c r="E49" s="418"/>
      <c r="F49" s="564">
        <f t="shared" si="8"/>
        <v>142005599.43559998</v>
      </c>
      <c r="G49" s="418"/>
      <c r="H49" s="564">
        <f t="shared" si="9"/>
        <v>142005599.43559998</v>
      </c>
      <c r="I49" s="564"/>
      <c r="J49" s="1111">
        <v>-10000000</v>
      </c>
      <c r="K49" s="1102"/>
      <c r="L49" s="1103">
        <f t="shared" si="10"/>
        <v>132005599.43559998</v>
      </c>
      <c r="M49" s="1104">
        <v>52194862</v>
      </c>
      <c r="N49" s="1103">
        <v>35810953</v>
      </c>
      <c r="O49" s="1103">
        <v>43999784</v>
      </c>
      <c r="P49" s="1104">
        <f t="shared" si="2"/>
        <v>132005599</v>
      </c>
      <c r="Q49" s="1105">
        <f t="shared" si="3"/>
        <v>0.9999999967001401</v>
      </c>
    </row>
    <row r="50" spans="1:17" s="939" customFormat="1" ht="15" customHeight="1" hidden="1" outlineLevel="1">
      <c r="A50" s="560" t="s">
        <v>427</v>
      </c>
      <c r="B50" s="414">
        <v>73403649.249</v>
      </c>
      <c r="C50" s="412"/>
      <c r="D50" s="418"/>
      <c r="E50" s="418"/>
      <c r="F50" s="564">
        <f t="shared" si="8"/>
        <v>73403649.249</v>
      </c>
      <c r="G50" s="418"/>
      <c r="H50" s="564">
        <f t="shared" si="9"/>
        <v>73403649.249</v>
      </c>
      <c r="I50" s="564"/>
      <c r="J50" s="1111"/>
      <c r="K50" s="1102"/>
      <c r="L50" s="1103">
        <f t="shared" si="10"/>
        <v>73403649.249</v>
      </c>
      <c r="M50" s="1104">
        <v>29811222</v>
      </c>
      <c r="N50" s="1103">
        <v>19321984</v>
      </c>
      <c r="O50" s="1103">
        <v>24270443</v>
      </c>
      <c r="P50" s="1104">
        <f t="shared" si="2"/>
        <v>73403649</v>
      </c>
      <c r="Q50" s="1105">
        <f t="shared" si="3"/>
        <v>0.9999999966077981</v>
      </c>
    </row>
    <row r="51" spans="1:17" s="939" customFormat="1" ht="15" customHeight="1" hidden="1" outlineLevel="1">
      <c r="A51" s="560" t="s">
        <v>428</v>
      </c>
      <c r="B51" s="564">
        <v>40100000</v>
      </c>
      <c r="C51" s="418"/>
      <c r="D51" s="418"/>
      <c r="E51" s="418"/>
      <c r="F51" s="564">
        <f t="shared" si="8"/>
        <v>40100000</v>
      </c>
      <c r="G51" s="418"/>
      <c r="H51" s="564">
        <f t="shared" si="9"/>
        <v>40100000</v>
      </c>
      <c r="I51" s="564"/>
      <c r="J51" s="1111"/>
      <c r="K51" s="1102"/>
      <c r="L51" s="1103">
        <f t="shared" si="10"/>
        <v>40100000</v>
      </c>
      <c r="M51" s="1104">
        <v>13398408</v>
      </c>
      <c r="N51" s="1103">
        <v>11000000</v>
      </c>
      <c r="O51" s="1103">
        <v>15701592</v>
      </c>
      <c r="P51" s="1104">
        <f t="shared" si="2"/>
        <v>40100000</v>
      </c>
      <c r="Q51" s="1105">
        <f t="shared" si="3"/>
        <v>1</v>
      </c>
    </row>
    <row r="52" spans="1:17" s="939" customFormat="1" ht="15" customHeight="1" hidden="1" outlineLevel="1">
      <c r="A52" s="560" t="s">
        <v>634</v>
      </c>
      <c r="B52" s="564">
        <v>5500000</v>
      </c>
      <c r="C52" s="418"/>
      <c r="D52" s="418"/>
      <c r="E52" s="418"/>
      <c r="F52" s="564">
        <f t="shared" si="8"/>
        <v>5500000</v>
      </c>
      <c r="G52" s="418"/>
      <c r="H52" s="564">
        <f t="shared" si="9"/>
        <v>5500000</v>
      </c>
      <c r="I52" s="564"/>
      <c r="J52" s="1111"/>
      <c r="K52" s="1102"/>
      <c r="L52" s="1103">
        <f t="shared" si="10"/>
        <v>5500000</v>
      </c>
      <c r="M52" s="1104">
        <v>3687840</v>
      </c>
      <c r="N52" s="1103">
        <v>0</v>
      </c>
      <c r="O52" s="1103">
        <v>1812160</v>
      </c>
      <c r="P52" s="1104">
        <f t="shared" si="2"/>
        <v>5500000</v>
      </c>
      <c r="Q52" s="1105">
        <f t="shared" si="3"/>
        <v>1</v>
      </c>
    </row>
    <row r="53" spans="1:17" s="939" customFormat="1" ht="15" collapsed="1">
      <c r="A53" s="417" t="s">
        <v>10</v>
      </c>
      <c r="B53" s="412">
        <f>SUM(B54:B57)</f>
        <v>150344432.56</v>
      </c>
      <c r="C53" s="418"/>
      <c r="D53" s="418"/>
      <c r="E53" s="418"/>
      <c r="F53" s="412">
        <f t="shared" si="8"/>
        <v>150344432.56</v>
      </c>
      <c r="G53" s="418"/>
      <c r="H53" s="412">
        <f t="shared" si="9"/>
        <v>150344432.56</v>
      </c>
      <c r="I53" s="412"/>
      <c r="J53" s="1106"/>
      <c r="K53" s="1097">
        <f>SUM(K54:K57)</f>
        <v>0</v>
      </c>
      <c r="L53" s="1098">
        <f t="shared" si="10"/>
        <v>150344432.56</v>
      </c>
      <c r="M53" s="1099">
        <f>SUM(M54:M57)</f>
        <v>69499259</v>
      </c>
      <c r="N53" s="1099">
        <f>SUM(N54:N57)</f>
        <v>36501811</v>
      </c>
      <c r="O53" s="1099">
        <f>SUM(O54:O57)</f>
        <v>38723442</v>
      </c>
      <c r="P53" s="1099">
        <f t="shared" si="2"/>
        <v>144724512</v>
      </c>
      <c r="Q53" s="1107">
        <f t="shared" si="3"/>
        <v>0.962619696224819</v>
      </c>
    </row>
    <row r="54" spans="1:17" s="939" customFormat="1" ht="15" customHeight="1" hidden="1" outlineLevel="2">
      <c r="A54" s="560" t="s">
        <v>412</v>
      </c>
      <c r="B54" s="414">
        <v>33989152.56</v>
      </c>
      <c r="C54" s="418"/>
      <c r="D54" s="418"/>
      <c r="E54" s="418"/>
      <c r="F54" s="564">
        <f t="shared" si="8"/>
        <v>33989152.56</v>
      </c>
      <c r="G54" s="418"/>
      <c r="H54" s="564">
        <f t="shared" si="9"/>
        <v>33989152.56</v>
      </c>
      <c r="I54" s="564"/>
      <c r="J54" s="1111"/>
      <c r="K54" s="1102"/>
      <c r="L54" s="1103">
        <f t="shared" si="10"/>
        <v>33989152.56</v>
      </c>
      <c r="M54" s="1104">
        <v>16994579</v>
      </c>
      <c r="N54" s="1103">
        <v>8497288</v>
      </c>
      <c r="O54" s="1103">
        <v>8497288</v>
      </c>
      <c r="P54" s="1104">
        <f t="shared" si="2"/>
        <v>33989155</v>
      </c>
      <c r="Q54" s="1105">
        <f t="shared" si="3"/>
        <v>1.0000000717876092</v>
      </c>
    </row>
    <row r="55" spans="1:17" s="939" customFormat="1" ht="15" customHeight="1" hidden="1" outlineLevel="2">
      <c r="A55" s="560" t="s">
        <v>413</v>
      </c>
      <c r="B55" s="414">
        <v>15649640</v>
      </c>
      <c r="C55" s="418"/>
      <c r="D55" s="418"/>
      <c r="E55" s="418"/>
      <c r="F55" s="564">
        <f t="shared" si="8"/>
        <v>15649640</v>
      </c>
      <c r="G55" s="418"/>
      <c r="H55" s="564">
        <f t="shared" si="9"/>
        <v>15649640</v>
      </c>
      <c r="I55" s="564"/>
      <c r="J55" s="1111"/>
      <c r="K55" s="1102"/>
      <c r="L55" s="1103">
        <f t="shared" si="10"/>
        <v>15649640</v>
      </c>
      <c r="M55" s="1104">
        <v>10344859</v>
      </c>
      <c r="N55" s="1103">
        <v>1949967</v>
      </c>
      <c r="O55" s="1103">
        <v>2798280</v>
      </c>
      <c r="P55" s="1104">
        <f t="shared" si="2"/>
        <v>15093106</v>
      </c>
      <c r="Q55" s="1105">
        <f t="shared" si="3"/>
        <v>0.9644379040029036</v>
      </c>
    </row>
    <row r="56" spans="1:17" s="939" customFormat="1" ht="15" customHeight="1" hidden="1" outlineLevel="2">
      <c r="A56" s="560" t="s">
        <v>635</v>
      </c>
      <c r="B56" s="414">
        <v>58705640</v>
      </c>
      <c r="C56" s="418"/>
      <c r="D56" s="418"/>
      <c r="E56" s="418"/>
      <c r="F56" s="564">
        <f t="shared" si="8"/>
        <v>58705640</v>
      </c>
      <c r="G56" s="418"/>
      <c r="H56" s="564">
        <f t="shared" si="9"/>
        <v>58705640</v>
      </c>
      <c r="I56" s="564"/>
      <c r="J56" s="1111"/>
      <c r="K56" s="1102"/>
      <c r="L56" s="1103">
        <f t="shared" si="10"/>
        <v>58705640</v>
      </c>
      <c r="M56" s="1104">
        <v>23428588</v>
      </c>
      <c r="N56" s="1103">
        <v>15178506</v>
      </c>
      <c r="O56" s="1103">
        <v>16551824</v>
      </c>
      <c r="P56" s="1104">
        <f t="shared" si="2"/>
        <v>55158918</v>
      </c>
      <c r="Q56" s="1105">
        <f t="shared" si="3"/>
        <v>0.9395846463815061</v>
      </c>
    </row>
    <row r="57" spans="1:17" s="939" customFormat="1" ht="15" customHeight="1" hidden="1" outlineLevel="2">
      <c r="A57" s="560" t="s">
        <v>653</v>
      </c>
      <c r="B57" s="414">
        <v>42000000</v>
      </c>
      <c r="C57" s="418"/>
      <c r="D57" s="418"/>
      <c r="E57" s="418"/>
      <c r="F57" s="564">
        <f t="shared" si="8"/>
        <v>42000000</v>
      </c>
      <c r="G57" s="418"/>
      <c r="H57" s="564">
        <f t="shared" si="9"/>
        <v>42000000</v>
      </c>
      <c r="I57" s="564"/>
      <c r="J57" s="1111"/>
      <c r="K57" s="1102"/>
      <c r="L57" s="1103">
        <f t="shared" si="10"/>
        <v>42000000</v>
      </c>
      <c r="M57" s="1104">
        <v>18731233</v>
      </c>
      <c r="N57" s="1103">
        <v>10876050</v>
      </c>
      <c r="O57" s="1103">
        <v>10876050</v>
      </c>
      <c r="P57" s="1104">
        <f t="shared" si="2"/>
        <v>40483333</v>
      </c>
      <c r="Q57" s="1105">
        <f t="shared" si="3"/>
        <v>0.9638888809523809</v>
      </c>
    </row>
    <row r="58" spans="1:17" s="939" customFormat="1" ht="15" customHeight="1" hidden="1" outlineLevel="2">
      <c r="A58" s="560"/>
      <c r="B58" s="414"/>
      <c r="C58" s="418"/>
      <c r="D58" s="418"/>
      <c r="E58" s="418"/>
      <c r="F58" s="414"/>
      <c r="G58" s="418"/>
      <c r="H58" s="564"/>
      <c r="I58" s="564"/>
      <c r="J58" s="1111"/>
      <c r="K58" s="1102"/>
      <c r="L58" s="1103"/>
      <c r="M58" s="1104"/>
      <c r="N58" s="1103"/>
      <c r="O58" s="1103"/>
      <c r="P58" s="1104"/>
      <c r="Q58" s="1105"/>
    </row>
    <row r="59" spans="1:17" s="939" customFormat="1" ht="15" collapsed="1">
      <c r="A59" s="417" t="s">
        <v>219</v>
      </c>
      <c r="B59" s="412">
        <f>SUM(B60:B63)</f>
        <v>263747372.68400002</v>
      </c>
      <c r="C59" s="550"/>
      <c r="D59" s="414"/>
      <c r="E59" s="412"/>
      <c r="F59" s="420">
        <f aca="true" t="shared" si="11" ref="F59:F68">+E59+D59+C59+B59</f>
        <v>263747372.68400002</v>
      </c>
      <c r="G59" s="421"/>
      <c r="H59" s="420">
        <f aca="true" t="shared" si="12" ref="H59:H68">+G59+F59</f>
        <v>263747372.68400002</v>
      </c>
      <c r="I59" s="420"/>
      <c r="J59" s="1096">
        <f>SUM(J60:J63)</f>
        <v>10000000</v>
      </c>
      <c r="K59" s="1097">
        <f>SUM(K60:K63)</f>
        <v>-3404715</v>
      </c>
      <c r="L59" s="1098">
        <f t="shared" si="10"/>
        <v>270342657.684</v>
      </c>
      <c r="M59" s="1099">
        <f>+M60+M61+M62+M63</f>
        <v>84495126</v>
      </c>
      <c r="N59" s="1099">
        <f>+N60+N61+N62+N63</f>
        <v>78898761</v>
      </c>
      <c r="O59" s="1099">
        <f>+O60+O61+O62+O63</f>
        <v>106948771</v>
      </c>
      <c r="P59" s="1099">
        <f t="shared" si="2"/>
        <v>270342658</v>
      </c>
      <c r="Q59" s="1107">
        <f t="shared" si="3"/>
        <v>1.000000001168887</v>
      </c>
    </row>
    <row r="60" spans="1:17" s="939" customFormat="1" ht="14.25" customHeight="1" hidden="1" outlineLevel="1">
      <c r="A60" s="419" t="s">
        <v>380</v>
      </c>
      <c r="B60" s="414">
        <f>63187+89328482.8672</f>
        <v>89391669.8672</v>
      </c>
      <c r="C60" s="411"/>
      <c r="D60" s="411"/>
      <c r="E60" s="414"/>
      <c r="F60" s="564">
        <f t="shared" si="11"/>
        <v>89391669.8672</v>
      </c>
      <c r="G60" s="1022"/>
      <c r="H60" s="564">
        <f t="shared" si="12"/>
        <v>89391669.8672</v>
      </c>
      <c r="I60" s="414"/>
      <c r="J60" s="1101"/>
      <c r="K60" s="1102"/>
      <c r="L60" s="1103">
        <f t="shared" si="10"/>
        <v>89391669.8672</v>
      </c>
      <c r="M60" s="1104">
        <v>48061670</v>
      </c>
      <c r="N60" s="1103">
        <v>19539456</v>
      </c>
      <c r="O60" s="1103">
        <v>21727357</v>
      </c>
      <c r="P60" s="1104">
        <f t="shared" si="2"/>
        <v>89328483</v>
      </c>
      <c r="Q60" s="1105">
        <f t="shared" si="3"/>
        <v>0.9992931459128812</v>
      </c>
    </row>
    <row r="61" spans="1:17" s="939" customFormat="1" ht="14.25" customHeight="1" hidden="1" outlineLevel="1">
      <c r="A61" s="419" t="s">
        <v>429</v>
      </c>
      <c r="B61" s="414">
        <f>-63187+34418889.8168</f>
        <v>34355702.8168</v>
      </c>
      <c r="C61" s="411"/>
      <c r="D61" s="411"/>
      <c r="E61" s="414"/>
      <c r="F61" s="564">
        <f t="shared" si="11"/>
        <v>34355702.8168</v>
      </c>
      <c r="G61" s="1022"/>
      <c r="H61" s="564">
        <f t="shared" si="12"/>
        <v>34355702.8168</v>
      </c>
      <c r="I61" s="414"/>
      <c r="J61" s="1101"/>
      <c r="K61" s="1102">
        <v>-3404715</v>
      </c>
      <c r="L61" s="1103">
        <f t="shared" si="10"/>
        <v>30950987.8168</v>
      </c>
      <c r="M61" s="1104">
        <v>15553456</v>
      </c>
      <c r="N61" s="1103">
        <v>5887130</v>
      </c>
      <c r="O61" s="1103">
        <v>9573589</v>
      </c>
      <c r="P61" s="1104">
        <f t="shared" si="2"/>
        <v>31014175</v>
      </c>
      <c r="Q61" s="1105">
        <f t="shared" si="3"/>
        <v>1.0020415239595586</v>
      </c>
    </row>
    <row r="62" spans="1:17" s="939" customFormat="1" ht="14.25" customHeight="1" hidden="1" outlineLevel="1">
      <c r="A62" s="419" t="s">
        <v>636</v>
      </c>
      <c r="B62" s="414">
        <v>40000000</v>
      </c>
      <c r="C62" s="411"/>
      <c r="D62" s="411"/>
      <c r="E62" s="414"/>
      <c r="F62" s="564">
        <f t="shared" si="11"/>
        <v>40000000</v>
      </c>
      <c r="G62" s="1022"/>
      <c r="H62" s="564">
        <f t="shared" si="12"/>
        <v>40000000</v>
      </c>
      <c r="I62" s="414"/>
      <c r="J62" s="1101">
        <v>10000000</v>
      </c>
      <c r="K62" s="1102"/>
      <c r="L62" s="1103">
        <f t="shared" si="10"/>
        <v>50000000</v>
      </c>
      <c r="M62" s="1104">
        <v>0</v>
      </c>
      <c r="N62" s="1103">
        <v>13472175</v>
      </c>
      <c r="O62" s="1103">
        <v>36527825</v>
      </c>
      <c r="P62" s="1104">
        <f t="shared" si="2"/>
        <v>50000000</v>
      </c>
      <c r="Q62" s="1105">
        <f t="shared" si="3"/>
        <v>1</v>
      </c>
    </row>
    <row r="63" spans="1:17" s="939" customFormat="1" ht="14.25" customHeight="1" hidden="1" outlineLevel="1">
      <c r="A63" s="419" t="s">
        <v>646</v>
      </c>
      <c r="B63" s="414">
        <v>100000000</v>
      </c>
      <c r="C63" s="411"/>
      <c r="D63" s="411"/>
      <c r="E63" s="414"/>
      <c r="F63" s="564">
        <f t="shared" si="11"/>
        <v>100000000</v>
      </c>
      <c r="G63" s="1022"/>
      <c r="H63" s="564">
        <f t="shared" si="12"/>
        <v>100000000</v>
      </c>
      <c r="I63" s="414"/>
      <c r="J63" s="1101"/>
      <c r="K63" s="1102"/>
      <c r="L63" s="1103">
        <f t="shared" si="10"/>
        <v>100000000</v>
      </c>
      <c r="M63" s="1104">
        <v>20880000</v>
      </c>
      <c r="N63" s="1103">
        <v>40000000</v>
      </c>
      <c r="O63" s="1103">
        <v>39120000</v>
      </c>
      <c r="P63" s="1104">
        <f t="shared" si="2"/>
        <v>100000000</v>
      </c>
      <c r="Q63" s="1105">
        <f t="shared" si="3"/>
        <v>1</v>
      </c>
    </row>
    <row r="64" spans="1:17" s="939" customFormat="1" ht="15" collapsed="1">
      <c r="A64" s="417" t="s">
        <v>243</v>
      </c>
      <c r="B64" s="420">
        <f>SUM(B65:B69)</f>
        <v>329739932</v>
      </c>
      <c r="C64" s="421"/>
      <c r="D64" s="421"/>
      <c r="E64" s="421"/>
      <c r="F64" s="420">
        <f t="shared" si="11"/>
        <v>329739932</v>
      </c>
      <c r="G64" s="421"/>
      <c r="H64" s="420">
        <f t="shared" si="12"/>
        <v>329739932</v>
      </c>
      <c r="I64" s="420">
        <f>SUM(I65:I69)</f>
        <v>30000000</v>
      </c>
      <c r="J64" s="1096"/>
      <c r="K64" s="1097">
        <f>SUM(K65:K69)</f>
        <v>-9246468</v>
      </c>
      <c r="L64" s="1098">
        <f t="shared" si="10"/>
        <v>350493464</v>
      </c>
      <c r="M64" s="1099">
        <f>SUM(M65:M69)</f>
        <v>92669764</v>
      </c>
      <c r="N64" s="1099">
        <f>SUM(N65:N69)</f>
        <v>102187472</v>
      </c>
      <c r="O64" s="1099">
        <f>SUM(O65:O69)</f>
        <v>155636228</v>
      </c>
      <c r="P64" s="1099">
        <f t="shared" si="2"/>
        <v>350493464</v>
      </c>
      <c r="Q64" s="1107">
        <f t="shared" si="3"/>
        <v>1</v>
      </c>
    </row>
    <row r="65" spans="1:17" s="939" customFormat="1" ht="15" customHeight="1" hidden="1" outlineLevel="1">
      <c r="A65" s="419" t="s">
        <v>430</v>
      </c>
      <c r="B65" s="564">
        <v>85242640</v>
      </c>
      <c r="C65" s="421"/>
      <c r="D65" s="421"/>
      <c r="E65" s="421"/>
      <c r="F65" s="564">
        <f t="shared" si="11"/>
        <v>85242640</v>
      </c>
      <c r="G65" s="1022"/>
      <c r="H65" s="564">
        <f t="shared" si="12"/>
        <v>85242640</v>
      </c>
      <c r="I65" s="564"/>
      <c r="J65" s="1111"/>
      <c r="K65" s="1102">
        <v>-9246468</v>
      </c>
      <c r="L65" s="1103">
        <f t="shared" si="10"/>
        <v>75996172</v>
      </c>
      <c r="M65" s="1104">
        <v>32050484</v>
      </c>
      <c r="N65" s="1103">
        <v>21889072</v>
      </c>
      <c r="O65" s="1103">
        <v>22056616</v>
      </c>
      <c r="P65" s="1104">
        <f t="shared" si="2"/>
        <v>75996172</v>
      </c>
      <c r="Q65" s="1105">
        <f t="shared" si="3"/>
        <v>1</v>
      </c>
    </row>
    <row r="66" spans="1:17" s="939" customFormat="1" ht="15" customHeight="1" hidden="1" outlineLevel="1">
      <c r="A66" s="419" t="s">
        <v>637</v>
      </c>
      <c r="B66" s="564">
        <v>18603380</v>
      </c>
      <c r="C66" s="421"/>
      <c r="D66" s="421"/>
      <c r="E66" s="421"/>
      <c r="F66" s="564">
        <f t="shared" si="11"/>
        <v>18603380</v>
      </c>
      <c r="G66" s="1022"/>
      <c r="H66" s="564">
        <f t="shared" si="12"/>
        <v>18603380</v>
      </c>
      <c r="I66" s="564"/>
      <c r="J66" s="1111"/>
      <c r="K66" s="1102"/>
      <c r="L66" s="1103">
        <f t="shared" si="10"/>
        <v>18603380</v>
      </c>
      <c r="M66" s="1104">
        <v>14085034</v>
      </c>
      <c r="N66" s="1103">
        <v>4518346</v>
      </c>
      <c r="O66" s="1103">
        <v>0</v>
      </c>
      <c r="P66" s="1104">
        <f t="shared" si="2"/>
        <v>18603380</v>
      </c>
      <c r="Q66" s="1105">
        <f t="shared" si="3"/>
        <v>1</v>
      </c>
    </row>
    <row r="67" spans="1:17" s="939" customFormat="1" ht="15" customHeight="1" hidden="1" outlineLevel="1">
      <c r="A67" s="605" t="s">
        <v>638</v>
      </c>
      <c r="B67" s="564">
        <v>48547512</v>
      </c>
      <c r="C67" s="421"/>
      <c r="D67" s="421"/>
      <c r="E67" s="421"/>
      <c r="F67" s="564">
        <f t="shared" si="11"/>
        <v>48547512</v>
      </c>
      <c r="G67" s="1022"/>
      <c r="H67" s="564">
        <f t="shared" si="12"/>
        <v>48547512</v>
      </c>
      <c r="I67" s="564"/>
      <c r="J67" s="1111"/>
      <c r="K67" s="1102"/>
      <c r="L67" s="1103">
        <f t="shared" si="10"/>
        <v>48547512</v>
      </c>
      <c r="M67" s="1104">
        <v>11932445</v>
      </c>
      <c r="N67" s="1103">
        <v>16450668</v>
      </c>
      <c r="O67" s="1103">
        <v>20164399</v>
      </c>
      <c r="P67" s="1104">
        <f t="shared" si="2"/>
        <v>48547512</v>
      </c>
      <c r="Q67" s="1105">
        <f t="shared" si="3"/>
        <v>1</v>
      </c>
    </row>
    <row r="68" spans="1:17" s="939" customFormat="1" ht="15" customHeight="1" hidden="1" outlineLevel="1">
      <c r="A68" s="566" t="s">
        <v>645</v>
      </c>
      <c r="B68" s="564">
        <v>177346400</v>
      </c>
      <c r="C68" s="421"/>
      <c r="D68" s="421"/>
      <c r="E68" s="421"/>
      <c r="F68" s="564">
        <f t="shared" si="11"/>
        <v>177346400</v>
      </c>
      <c r="G68" s="1022"/>
      <c r="H68" s="564">
        <f t="shared" si="12"/>
        <v>177346400</v>
      </c>
      <c r="I68" s="564"/>
      <c r="J68" s="1111"/>
      <c r="K68" s="1102"/>
      <c r="L68" s="1103">
        <f t="shared" si="10"/>
        <v>177346400</v>
      </c>
      <c r="M68" s="1104">
        <v>34601801</v>
      </c>
      <c r="N68" s="1103">
        <v>52169312</v>
      </c>
      <c r="O68" s="1103">
        <v>90575287</v>
      </c>
      <c r="P68" s="1104">
        <f t="shared" si="2"/>
        <v>177346400</v>
      </c>
      <c r="Q68" s="1105">
        <f t="shared" si="3"/>
        <v>1</v>
      </c>
    </row>
    <row r="69" spans="1:17" s="939" customFormat="1" ht="15" customHeight="1" hidden="1" outlineLevel="1">
      <c r="A69" s="566" t="s">
        <v>377</v>
      </c>
      <c r="B69" s="564"/>
      <c r="C69" s="421"/>
      <c r="D69" s="421"/>
      <c r="E69" s="421"/>
      <c r="F69" s="564"/>
      <c r="G69" s="1022"/>
      <c r="H69" s="564">
        <v>0</v>
      </c>
      <c r="I69" s="564">
        <v>30000000</v>
      </c>
      <c r="J69" s="1111"/>
      <c r="K69" s="1102"/>
      <c r="L69" s="1103">
        <f t="shared" si="10"/>
        <v>30000000</v>
      </c>
      <c r="M69" s="1104">
        <v>0</v>
      </c>
      <c r="N69" s="1103">
        <v>7160074</v>
      </c>
      <c r="O69" s="1103">
        <v>22839926</v>
      </c>
      <c r="P69" s="1104">
        <f t="shared" si="2"/>
        <v>30000000</v>
      </c>
      <c r="Q69" s="1105">
        <f t="shared" si="3"/>
        <v>1</v>
      </c>
    </row>
    <row r="70" spans="1:17" s="939" customFormat="1" ht="16.5" customHeight="1" collapsed="1">
      <c r="A70" s="419"/>
      <c r="B70" s="414"/>
      <c r="C70" s="418"/>
      <c r="D70" s="418"/>
      <c r="E70" s="551"/>
      <c r="F70" s="414"/>
      <c r="G70" s="418"/>
      <c r="H70" s="414"/>
      <c r="I70" s="414"/>
      <c r="J70" s="1101"/>
      <c r="K70" s="1102"/>
      <c r="L70" s="1098"/>
      <c r="M70" s="1099"/>
      <c r="N70" s="1098"/>
      <c r="O70" s="1098"/>
      <c r="P70" s="1099"/>
      <c r="Q70" s="1105"/>
    </row>
    <row r="71" spans="1:17" ht="15">
      <c r="A71" s="407" t="s">
        <v>11</v>
      </c>
      <c r="B71" s="1109"/>
      <c r="C71" s="414"/>
      <c r="D71" s="414"/>
      <c r="E71" s="420">
        <f>+E72+E78+E86+E93+E101+E106+E110</f>
        <v>2862575003.9334</v>
      </c>
      <c r="F71" s="412">
        <f aca="true" t="shared" si="13" ref="F71:F106">+E71+D71+C71+B71</f>
        <v>2862575003.9334</v>
      </c>
      <c r="G71" s="411"/>
      <c r="H71" s="412">
        <f aca="true" t="shared" si="14" ref="H71:H106">+F71+G71</f>
        <v>2862575003.9334</v>
      </c>
      <c r="I71" s="412"/>
      <c r="J71" s="1106">
        <f>+J72+J78+J86+J93+J101+J106</f>
        <v>50076480</v>
      </c>
      <c r="K71" s="1097">
        <f>+K72+K78+K86+K93+K101+K106+K110</f>
        <v>230000000</v>
      </c>
      <c r="L71" s="1098">
        <f aca="true" t="shared" si="15" ref="L71:L104">SUM(H71:K71)</f>
        <v>3142651483.9334</v>
      </c>
      <c r="M71" s="1099">
        <f>+M72+M78+M86+M93+M101+M106+M110</f>
        <v>1103644998</v>
      </c>
      <c r="N71" s="1099">
        <f>+N72+N78+N86+N93+N101+N106+N110</f>
        <v>1055306939</v>
      </c>
      <c r="O71" s="1099">
        <f>+O72+O78+O86+O93+O101+O106+O110</f>
        <v>970832175</v>
      </c>
      <c r="P71" s="1099">
        <f t="shared" si="2"/>
        <v>3129784112</v>
      </c>
      <c r="Q71" s="1107">
        <f t="shared" si="3"/>
        <v>0.9959055682759658</v>
      </c>
    </row>
    <row r="72" spans="1:17" ht="15">
      <c r="A72" s="417" t="s">
        <v>415</v>
      </c>
      <c r="B72" s="1109"/>
      <c r="C72" s="414"/>
      <c r="D72" s="414"/>
      <c r="E72" s="420">
        <f>SUM(E73:E77)</f>
        <v>314756004.256</v>
      </c>
      <c r="F72" s="412">
        <f t="shared" si="13"/>
        <v>314756004.256</v>
      </c>
      <c r="G72" s="411"/>
      <c r="H72" s="412">
        <f t="shared" si="14"/>
        <v>314756004.256</v>
      </c>
      <c r="I72" s="412"/>
      <c r="J72" s="1106"/>
      <c r="K72" s="1097">
        <f>SUM(K73:K77)</f>
        <v>-31230000</v>
      </c>
      <c r="L72" s="1098">
        <f t="shared" si="15"/>
        <v>283526004.256</v>
      </c>
      <c r="M72" s="1099">
        <f>SUM(M73:M77)</f>
        <v>70926000</v>
      </c>
      <c r="N72" s="1099">
        <f>SUM(N73:N77)</f>
        <v>46532000</v>
      </c>
      <c r="O72" s="1099">
        <f>SUM(O73:O77)</f>
        <v>165698004</v>
      </c>
      <c r="P72" s="1099">
        <f t="shared" si="2"/>
        <v>283156004</v>
      </c>
      <c r="Q72" s="1107">
        <f t="shared" si="3"/>
        <v>0.998695004160303</v>
      </c>
    </row>
    <row r="73" spans="1:17" ht="15" customHeight="1" hidden="1" outlineLevel="1">
      <c r="A73" s="1017" t="s">
        <v>416</v>
      </c>
      <c r="B73" s="1109"/>
      <c r="C73" s="414"/>
      <c r="D73" s="414"/>
      <c r="E73" s="564">
        <v>33141004.256</v>
      </c>
      <c r="F73" s="564">
        <f t="shared" si="13"/>
        <v>33141004.256</v>
      </c>
      <c r="G73" s="411"/>
      <c r="H73" s="564">
        <f t="shared" si="14"/>
        <v>33141004.256</v>
      </c>
      <c r="I73" s="564"/>
      <c r="J73" s="1111"/>
      <c r="K73" s="1102"/>
      <c r="L73" s="1103">
        <f t="shared" si="15"/>
        <v>33141004.256</v>
      </c>
      <c r="M73" s="1104">
        <v>0</v>
      </c>
      <c r="N73" s="1103">
        <v>0</v>
      </c>
      <c r="O73" s="1103">
        <v>33141004</v>
      </c>
      <c r="P73" s="1104">
        <f aca="true" t="shared" si="16" ref="P73:P136">+O73+N73+M73</f>
        <v>33141004</v>
      </c>
      <c r="Q73" s="1105">
        <f t="shared" si="3"/>
        <v>0.9999999922754302</v>
      </c>
    </row>
    <row r="74" spans="1:17" ht="15" customHeight="1" hidden="1" outlineLevel="1">
      <c r="A74" s="1017" t="s">
        <v>417</v>
      </c>
      <c r="B74" s="1109"/>
      <c r="C74" s="414"/>
      <c r="D74" s="414"/>
      <c r="E74" s="564">
        <v>84175000</v>
      </c>
      <c r="F74" s="564">
        <f t="shared" si="13"/>
        <v>84175000</v>
      </c>
      <c r="G74" s="411"/>
      <c r="H74" s="564">
        <f t="shared" si="14"/>
        <v>84175000</v>
      </c>
      <c r="I74" s="564"/>
      <c r="J74" s="1111"/>
      <c r="K74" s="1102">
        <v>-880000</v>
      </c>
      <c r="L74" s="1103">
        <f t="shared" si="15"/>
        <v>83295000</v>
      </c>
      <c r="M74" s="1104">
        <v>26750000</v>
      </c>
      <c r="N74" s="1103">
        <v>0</v>
      </c>
      <c r="O74" s="1103">
        <v>56175000</v>
      </c>
      <c r="P74" s="1104">
        <f t="shared" si="16"/>
        <v>82925000</v>
      </c>
      <c r="Q74" s="1105">
        <f aca="true" t="shared" si="17" ref="Q74:Q136">+P74/L74</f>
        <v>0.9955579566600636</v>
      </c>
    </row>
    <row r="75" spans="1:17" ht="15" customHeight="1" hidden="1" outlineLevel="1">
      <c r="A75" s="1017" t="s">
        <v>606</v>
      </c>
      <c r="B75" s="1109"/>
      <c r="C75" s="414"/>
      <c r="D75" s="414"/>
      <c r="E75" s="564">
        <v>7000000</v>
      </c>
      <c r="F75" s="564">
        <f t="shared" si="13"/>
        <v>7000000</v>
      </c>
      <c r="G75" s="411"/>
      <c r="H75" s="564">
        <f t="shared" si="14"/>
        <v>7000000</v>
      </c>
      <c r="I75" s="564"/>
      <c r="J75" s="1111"/>
      <c r="K75" s="1102"/>
      <c r="L75" s="1103">
        <f t="shared" si="15"/>
        <v>7000000</v>
      </c>
      <c r="M75" s="1104">
        <v>0</v>
      </c>
      <c r="N75" s="1103">
        <v>0</v>
      </c>
      <c r="O75" s="1103">
        <v>7000000</v>
      </c>
      <c r="P75" s="1104">
        <f t="shared" si="16"/>
        <v>7000000</v>
      </c>
      <c r="Q75" s="1105">
        <f t="shared" si="17"/>
        <v>1</v>
      </c>
    </row>
    <row r="76" spans="1:17" ht="15" customHeight="1" hidden="1" outlineLevel="1">
      <c r="A76" s="1017" t="s">
        <v>604</v>
      </c>
      <c r="B76" s="1109"/>
      <c r="C76" s="414"/>
      <c r="D76" s="414"/>
      <c r="E76" s="564">
        <v>180000000</v>
      </c>
      <c r="F76" s="564">
        <f t="shared" si="13"/>
        <v>180000000</v>
      </c>
      <c r="G76" s="411"/>
      <c r="H76" s="564">
        <f t="shared" si="14"/>
        <v>180000000</v>
      </c>
      <c r="I76" s="564"/>
      <c r="J76" s="1111"/>
      <c r="K76" s="1102">
        <v>-30350000</v>
      </c>
      <c r="L76" s="1103">
        <f t="shared" si="15"/>
        <v>149650000</v>
      </c>
      <c r="M76" s="1104">
        <v>40000000</v>
      </c>
      <c r="N76" s="1103">
        <v>43400000</v>
      </c>
      <c r="O76" s="1103">
        <v>66250000</v>
      </c>
      <c r="P76" s="1104">
        <f t="shared" si="16"/>
        <v>149650000</v>
      </c>
      <c r="Q76" s="1105">
        <f t="shared" si="17"/>
        <v>1</v>
      </c>
    </row>
    <row r="77" spans="1:17" ht="15" customHeight="1" hidden="1" outlineLevel="1">
      <c r="A77" s="1017" t="s">
        <v>605</v>
      </c>
      <c r="B77" s="1109"/>
      <c r="C77" s="414"/>
      <c r="D77" s="414"/>
      <c r="E77" s="564">
        <v>10439999.999999998</v>
      </c>
      <c r="F77" s="564">
        <f t="shared" si="13"/>
        <v>10439999.999999998</v>
      </c>
      <c r="G77" s="411"/>
      <c r="H77" s="564">
        <f t="shared" si="14"/>
        <v>10439999.999999998</v>
      </c>
      <c r="I77" s="564"/>
      <c r="J77" s="1111"/>
      <c r="K77" s="1102"/>
      <c r="L77" s="1103">
        <f t="shared" si="15"/>
        <v>10439999.999999998</v>
      </c>
      <c r="M77" s="1104">
        <v>4176000</v>
      </c>
      <c r="N77" s="1103">
        <v>3132000</v>
      </c>
      <c r="O77" s="1103">
        <v>3132000</v>
      </c>
      <c r="P77" s="1104">
        <f t="shared" si="16"/>
        <v>10440000</v>
      </c>
      <c r="Q77" s="1105">
        <f t="shared" si="17"/>
        <v>1.0000000000000002</v>
      </c>
    </row>
    <row r="78" spans="1:17" ht="17.25" customHeight="1" collapsed="1">
      <c r="A78" s="1018" t="s">
        <v>681</v>
      </c>
      <c r="B78" s="1109"/>
      <c r="C78" s="414"/>
      <c r="D78" s="414"/>
      <c r="E78" s="420">
        <f>SUM(E79:E85)</f>
        <v>225461102.22500002</v>
      </c>
      <c r="F78" s="412">
        <f t="shared" si="13"/>
        <v>225461102.22500002</v>
      </c>
      <c r="G78" s="411"/>
      <c r="H78" s="412">
        <f t="shared" si="14"/>
        <v>225461102.22500002</v>
      </c>
      <c r="I78" s="412"/>
      <c r="J78" s="1106"/>
      <c r="K78" s="1097">
        <f>SUM(K79:K85)</f>
        <v>-38798730</v>
      </c>
      <c r="L78" s="1098">
        <f t="shared" si="15"/>
        <v>186662372.22500002</v>
      </c>
      <c r="M78" s="1099">
        <f>SUM(M79:M85)</f>
        <v>86611143</v>
      </c>
      <c r="N78" s="1099">
        <f>SUM(N79:N85)</f>
        <v>46476188</v>
      </c>
      <c r="O78" s="1099">
        <f>SUM(O79:O85)</f>
        <v>49564274</v>
      </c>
      <c r="P78" s="1099">
        <f t="shared" si="16"/>
        <v>182651605</v>
      </c>
      <c r="Q78" s="1107">
        <f t="shared" si="17"/>
        <v>0.9785132526861626</v>
      </c>
    </row>
    <row r="79" spans="1:17" ht="15" customHeight="1" hidden="1" outlineLevel="1">
      <c r="A79" s="1017" t="s">
        <v>607</v>
      </c>
      <c r="B79" s="1109"/>
      <c r="C79" s="414"/>
      <c r="D79" s="414"/>
      <c r="E79" s="564">
        <v>144861102.22500002</v>
      </c>
      <c r="F79" s="564">
        <f t="shared" si="13"/>
        <v>144861102.22500002</v>
      </c>
      <c r="G79" s="411"/>
      <c r="H79" s="564">
        <f t="shared" si="14"/>
        <v>144861102.22500002</v>
      </c>
      <c r="I79" s="564"/>
      <c r="J79" s="1111"/>
      <c r="K79" s="1102">
        <v>-20694424</v>
      </c>
      <c r="L79" s="1103">
        <f t="shared" si="15"/>
        <v>124166678.22500002</v>
      </c>
      <c r="M79" s="1104">
        <v>59126988</v>
      </c>
      <c r="N79" s="1103">
        <v>35476188</v>
      </c>
      <c r="O79" s="1103">
        <v>29563500</v>
      </c>
      <c r="P79" s="1104">
        <f t="shared" si="16"/>
        <v>124166676</v>
      </c>
      <c r="Q79" s="1105">
        <f t="shared" si="17"/>
        <v>0.9999999820805384</v>
      </c>
    </row>
    <row r="80" spans="1:17" ht="15" customHeight="1" hidden="1" outlineLevel="1">
      <c r="A80" s="1017" t="s">
        <v>608</v>
      </c>
      <c r="B80" s="1109"/>
      <c r="C80" s="414"/>
      <c r="D80" s="414"/>
      <c r="E80" s="564">
        <v>9600000</v>
      </c>
      <c r="F80" s="564">
        <f t="shared" si="13"/>
        <v>9600000</v>
      </c>
      <c r="G80" s="411"/>
      <c r="H80" s="564">
        <f t="shared" si="14"/>
        <v>9600000</v>
      </c>
      <c r="I80" s="564"/>
      <c r="J80" s="1111"/>
      <c r="K80" s="1102"/>
      <c r="L80" s="1103">
        <f t="shared" si="15"/>
        <v>9600000</v>
      </c>
      <c r="M80" s="1104">
        <v>3899226</v>
      </c>
      <c r="N80" s="1103">
        <v>5000000</v>
      </c>
      <c r="O80" s="1103">
        <v>700774</v>
      </c>
      <c r="P80" s="1104">
        <f t="shared" si="16"/>
        <v>9600000</v>
      </c>
      <c r="Q80" s="1105">
        <f t="shared" si="17"/>
        <v>1</v>
      </c>
    </row>
    <row r="81" spans="1:17" ht="15" customHeight="1" hidden="1" outlineLevel="1">
      <c r="A81" s="1017" t="s">
        <v>549</v>
      </c>
      <c r="B81" s="1109"/>
      <c r="C81" s="414"/>
      <c r="D81" s="414"/>
      <c r="E81" s="564">
        <v>20000000</v>
      </c>
      <c r="F81" s="564">
        <f t="shared" si="13"/>
        <v>20000000</v>
      </c>
      <c r="G81" s="411"/>
      <c r="H81" s="564">
        <f t="shared" si="14"/>
        <v>20000000</v>
      </c>
      <c r="I81" s="564"/>
      <c r="J81" s="1111"/>
      <c r="K81" s="1102"/>
      <c r="L81" s="1103">
        <f t="shared" si="15"/>
        <v>20000000</v>
      </c>
      <c r="M81" s="1104">
        <v>17989275</v>
      </c>
      <c r="N81" s="1103">
        <v>0</v>
      </c>
      <c r="O81" s="1103">
        <v>2000000</v>
      </c>
      <c r="P81" s="1104">
        <f t="shared" si="16"/>
        <v>19989275</v>
      </c>
      <c r="Q81" s="1105">
        <f t="shared" si="17"/>
        <v>0.99946375</v>
      </c>
    </row>
    <row r="82" spans="1:17" ht="15" customHeight="1" hidden="1" outlineLevel="1">
      <c r="A82" s="1017" t="s">
        <v>610</v>
      </c>
      <c r="B82" s="1109"/>
      <c r="C82" s="414"/>
      <c r="D82" s="414"/>
      <c r="E82" s="564">
        <v>3000000</v>
      </c>
      <c r="F82" s="564">
        <f t="shared" si="13"/>
        <v>3000000</v>
      </c>
      <c r="G82" s="411"/>
      <c r="H82" s="564">
        <f t="shared" si="14"/>
        <v>3000000</v>
      </c>
      <c r="I82" s="564"/>
      <c r="J82" s="1111"/>
      <c r="K82" s="1102"/>
      <c r="L82" s="1103">
        <f t="shared" si="15"/>
        <v>3000000</v>
      </c>
      <c r="M82" s="1104">
        <v>0</v>
      </c>
      <c r="N82" s="1103">
        <v>1000000</v>
      </c>
      <c r="O82" s="1103">
        <v>2000000</v>
      </c>
      <c r="P82" s="1104">
        <f t="shared" si="16"/>
        <v>3000000</v>
      </c>
      <c r="Q82" s="1105">
        <f t="shared" si="17"/>
        <v>1</v>
      </c>
    </row>
    <row r="83" spans="1:17" ht="15" customHeight="1" hidden="1" outlineLevel="1">
      <c r="A83" s="1017" t="s">
        <v>609</v>
      </c>
      <c r="B83" s="1109"/>
      <c r="C83" s="414"/>
      <c r="D83" s="414"/>
      <c r="E83" s="564">
        <v>25000000</v>
      </c>
      <c r="F83" s="564">
        <f t="shared" si="13"/>
        <v>25000000</v>
      </c>
      <c r="G83" s="411"/>
      <c r="H83" s="564">
        <f t="shared" si="14"/>
        <v>25000000</v>
      </c>
      <c r="I83" s="564"/>
      <c r="J83" s="1111"/>
      <c r="K83" s="1102">
        <v>-4104306</v>
      </c>
      <c r="L83" s="1103">
        <f t="shared" si="15"/>
        <v>20895694</v>
      </c>
      <c r="M83" s="1104">
        <v>5095694</v>
      </c>
      <c r="N83" s="1103">
        <v>5000000</v>
      </c>
      <c r="O83" s="1103">
        <f>10800000-4000000</f>
        <v>6800000</v>
      </c>
      <c r="P83" s="1104">
        <f t="shared" si="16"/>
        <v>16895694</v>
      </c>
      <c r="Q83" s="1105">
        <f t="shared" si="17"/>
        <v>0.8085730007340268</v>
      </c>
    </row>
    <row r="84" spans="1:17" ht="15" customHeight="1" hidden="1" outlineLevel="1">
      <c r="A84" s="1017" t="s">
        <v>611</v>
      </c>
      <c r="B84" s="1109"/>
      <c r="C84" s="414"/>
      <c r="D84" s="414"/>
      <c r="E84" s="564">
        <v>14000000</v>
      </c>
      <c r="F84" s="564">
        <f t="shared" si="13"/>
        <v>14000000</v>
      </c>
      <c r="G84" s="411"/>
      <c r="H84" s="564">
        <f t="shared" si="14"/>
        <v>14000000</v>
      </c>
      <c r="I84" s="564"/>
      <c r="J84" s="1111"/>
      <c r="K84" s="1102">
        <v>-14000000</v>
      </c>
      <c r="L84" s="1103">
        <f t="shared" si="15"/>
        <v>0</v>
      </c>
      <c r="M84" s="1104">
        <v>0</v>
      </c>
      <c r="N84" s="1103">
        <v>0</v>
      </c>
      <c r="O84" s="1103">
        <v>0</v>
      </c>
      <c r="P84" s="1104">
        <f t="shared" si="16"/>
        <v>0</v>
      </c>
      <c r="Q84" s="1105">
        <v>0</v>
      </c>
    </row>
    <row r="85" spans="1:17" ht="15" customHeight="1" hidden="1" outlineLevel="1">
      <c r="A85" s="1017" t="s">
        <v>612</v>
      </c>
      <c r="B85" s="1109"/>
      <c r="C85" s="414"/>
      <c r="D85" s="414"/>
      <c r="E85" s="564">
        <v>9000000</v>
      </c>
      <c r="F85" s="564">
        <f t="shared" si="13"/>
        <v>9000000</v>
      </c>
      <c r="G85" s="411"/>
      <c r="H85" s="564">
        <f t="shared" si="14"/>
        <v>9000000</v>
      </c>
      <c r="I85" s="564"/>
      <c r="J85" s="1111"/>
      <c r="K85" s="1102"/>
      <c r="L85" s="1103">
        <f t="shared" si="15"/>
        <v>9000000</v>
      </c>
      <c r="M85" s="1104">
        <v>499960</v>
      </c>
      <c r="N85" s="1103">
        <v>0</v>
      </c>
      <c r="O85" s="1103">
        <v>8500000</v>
      </c>
      <c r="P85" s="1104">
        <f t="shared" si="16"/>
        <v>8999960</v>
      </c>
      <c r="Q85" s="1105">
        <f t="shared" si="17"/>
        <v>0.9999955555555555</v>
      </c>
    </row>
    <row r="86" spans="1:17" ht="15" collapsed="1">
      <c r="A86" s="1019" t="s">
        <v>626</v>
      </c>
      <c r="B86" s="1109"/>
      <c r="C86" s="414"/>
      <c r="D86" s="414"/>
      <c r="E86" s="420">
        <f>SUM(E87:E92)</f>
        <v>410159685.55</v>
      </c>
      <c r="F86" s="412">
        <f t="shared" si="13"/>
        <v>410159685.55</v>
      </c>
      <c r="G86" s="411"/>
      <c r="H86" s="412">
        <f t="shared" si="14"/>
        <v>410159685.55</v>
      </c>
      <c r="I86" s="412"/>
      <c r="J86" s="1106"/>
      <c r="K86" s="1097">
        <f>SUM(K87:K92)</f>
        <v>-7885748</v>
      </c>
      <c r="L86" s="1098">
        <f t="shared" si="15"/>
        <v>402273937.55</v>
      </c>
      <c r="M86" s="1099">
        <f>SUM(M87:M92)</f>
        <v>207808507</v>
      </c>
      <c r="N86" s="1099">
        <f>SUM(N87:N92)</f>
        <v>100731167</v>
      </c>
      <c r="O86" s="1099">
        <f>SUM(O87:O92)</f>
        <v>93534264</v>
      </c>
      <c r="P86" s="1099">
        <f t="shared" si="16"/>
        <v>402073938</v>
      </c>
      <c r="Q86" s="1107">
        <f t="shared" si="17"/>
        <v>0.9995028274731939</v>
      </c>
    </row>
    <row r="87" spans="1:17" ht="15" customHeight="1" hidden="1" outlineLevel="1">
      <c r="A87" s="1017" t="s">
        <v>613</v>
      </c>
      <c r="B87" s="1109"/>
      <c r="C87" s="414"/>
      <c r="D87" s="414"/>
      <c r="E87" s="564">
        <v>171253200</v>
      </c>
      <c r="F87" s="564">
        <f t="shared" si="13"/>
        <v>171253200</v>
      </c>
      <c r="G87" s="411"/>
      <c r="H87" s="564">
        <f t="shared" si="14"/>
        <v>171253200</v>
      </c>
      <c r="I87" s="564"/>
      <c r="J87" s="1111"/>
      <c r="K87" s="1102">
        <v>-7186116</v>
      </c>
      <c r="L87" s="1103">
        <f t="shared" si="15"/>
        <v>164067084</v>
      </c>
      <c r="M87" s="1104">
        <v>74040484</v>
      </c>
      <c r="N87" s="1103">
        <v>49923600</v>
      </c>
      <c r="O87" s="1103">
        <v>40103000</v>
      </c>
      <c r="P87" s="1104">
        <f t="shared" si="16"/>
        <v>164067084</v>
      </c>
      <c r="Q87" s="1105">
        <f t="shared" si="17"/>
        <v>1</v>
      </c>
    </row>
    <row r="88" spans="1:17" ht="15" customHeight="1" hidden="1" outlineLevel="1">
      <c r="A88" s="1017" t="s">
        <v>614</v>
      </c>
      <c r="B88" s="1109"/>
      <c r="C88" s="414"/>
      <c r="D88" s="414"/>
      <c r="E88" s="564">
        <v>95876485.55000001</v>
      </c>
      <c r="F88" s="564">
        <f t="shared" si="13"/>
        <v>95876485.55000001</v>
      </c>
      <c r="G88" s="411"/>
      <c r="H88" s="564">
        <f t="shared" si="14"/>
        <v>95876485.55000001</v>
      </c>
      <c r="I88" s="564"/>
      <c r="J88" s="1111"/>
      <c r="K88" s="1102"/>
      <c r="L88" s="1103">
        <f t="shared" si="15"/>
        <v>95876485.55000001</v>
      </c>
      <c r="M88" s="1104">
        <v>42978180</v>
      </c>
      <c r="N88" s="1103">
        <v>29507567</v>
      </c>
      <c r="O88" s="1103">
        <v>23390739</v>
      </c>
      <c r="P88" s="1104">
        <f t="shared" si="16"/>
        <v>95876486</v>
      </c>
      <c r="Q88" s="1105">
        <f t="shared" si="17"/>
        <v>1.0000000046935387</v>
      </c>
    </row>
    <row r="89" spans="1:17" ht="15" customHeight="1" hidden="1" outlineLevel="1">
      <c r="A89" s="1017" t="s">
        <v>615</v>
      </c>
      <c r="B89" s="1109"/>
      <c r="C89" s="414"/>
      <c r="D89" s="414"/>
      <c r="E89" s="564">
        <f>102480000+8000000</f>
        <v>110480000</v>
      </c>
      <c r="F89" s="564">
        <f t="shared" si="13"/>
        <v>110480000</v>
      </c>
      <c r="G89" s="411"/>
      <c r="H89" s="564">
        <f t="shared" si="14"/>
        <v>110480000</v>
      </c>
      <c r="I89" s="564"/>
      <c r="J89" s="1111"/>
      <c r="K89" s="1102"/>
      <c r="L89" s="1103">
        <f t="shared" si="15"/>
        <v>110480000</v>
      </c>
      <c r="M89" s="1104">
        <v>77152279</v>
      </c>
      <c r="N89" s="1103">
        <v>15500000</v>
      </c>
      <c r="O89" s="1103">
        <v>17827721</v>
      </c>
      <c r="P89" s="1104">
        <f t="shared" si="16"/>
        <v>110480000</v>
      </c>
      <c r="Q89" s="1105">
        <f t="shared" si="17"/>
        <v>1</v>
      </c>
    </row>
    <row r="90" spans="1:17" ht="15" customHeight="1" hidden="1" outlineLevel="1">
      <c r="A90" s="1017" t="s">
        <v>612</v>
      </c>
      <c r="B90" s="1109"/>
      <c r="C90" s="414"/>
      <c r="D90" s="414"/>
      <c r="E90" s="564">
        <v>17550000</v>
      </c>
      <c r="F90" s="564">
        <f t="shared" si="13"/>
        <v>17550000</v>
      </c>
      <c r="G90" s="411"/>
      <c r="H90" s="564">
        <f t="shared" si="14"/>
        <v>17550000</v>
      </c>
      <c r="I90" s="564"/>
      <c r="J90" s="1111"/>
      <c r="K90" s="1102"/>
      <c r="L90" s="1103">
        <f t="shared" si="15"/>
        <v>17550000</v>
      </c>
      <c r="M90" s="1104">
        <v>6337196</v>
      </c>
      <c r="N90" s="1103">
        <v>0</v>
      </c>
      <c r="O90" s="1103">
        <v>11212804</v>
      </c>
      <c r="P90" s="1104">
        <f t="shared" si="16"/>
        <v>17550000</v>
      </c>
      <c r="Q90" s="1105">
        <f t="shared" si="17"/>
        <v>1</v>
      </c>
    </row>
    <row r="91" spans="1:17" ht="15" customHeight="1" hidden="1" outlineLevel="1">
      <c r="A91" s="1017" t="s">
        <v>616</v>
      </c>
      <c r="B91" s="1109"/>
      <c r="C91" s="414"/>
      <c r="D91" s="414"/>
      <c r="E91" s="564">
        <v>10000000</v>
      </c>
      <c r="F91" s="564">
        <f t="shared" si="13"/>
        <v>10000000</v>
      </c>
      <c r="G91" s="411"/>
      <c r="H91" s="564">
        <f t="shared" si="14"/>
        <v>10000000</v>
      </c>
      <c r="I91" s="564"/>
      <c r="J91" s="1111"/>
      <c r="K91" s="1102"/>
      <c r="L91" s="1103">
        <f t="shared" si="15"/>
        <v>10000000</v>
      </c>
      <c r="M91" s="1104">
        <v>3000000</v>
      </c>
      <c r="N91" s="1103">
        <v>5800000</v>
      </c>
      <c r="O91" s="1103">
        <v>1000000</v>
      </c>
      <c r="P91" s="1104">
        <f t="shared" si="16"/>
        <v>9800000</v>
      </c>
      <c r="Q91" s="1105">
        <f t="shared" si="17"/>
        <v>0.98</v>
      </c>
    </row>
    <row r="92" spans="1:17" ht="15" customHeight="1" hidden="1" outlineLevel="1">
      <c r="A92" s="1017" t="s">
        <v>549</v>
      </c>
      <c r="B92" s="1109"/>
      <c r="C92" s="414"/>
      <c r="D92" s="414"/>
      <c r="E92" s="564">
        <f>13000000-8000000</f>
        <v>5000000</v>
      </c>
      <c r="F92" s="564">
        <f t="shared" si="13"/>
        <v>5000000</v>
      </c>
      <c r="G92" s="411"/>
      <c r="H92" s="564">
        <f t="shared" si="14"/>
        <v>5000000</v>
      </c>
      <c r="I92" s="564"/>
      <c r="J92" s="1111"/>
      <c r="K92" s="1102">
        <v>-699632</v>
      </c>
      <c r="L92" s="1103">
        <f t="shared" si="15"/>
        <v>4300368</v>
      </c>
      <c r="M92" s="1104">
        <v>4300368</v>
      </c>
      <c r="N92" s="1103">
        <v>0</v>
      </c>
      <c r="O92" s="1103">
        <v>0</v>
      </c>
      <c r="P92" s="1104">
        <f t="shared" si="16"/>
        <v>4300368</v>
      </c>
      <c r="Q92" s="1105">
        <f t="shared" si="17"/>
        <v>1</v>
      </c>
    </row>
    <row r="93" spans="1:17" ht="15" collapsed="1">
      <c r="A93" s="1018" t="s">
        <v>534</v>
      </c>
      <c r="B93" s="1109"/>
      <c r="C93" s="414"/>
      <c r="D93" s="414"/>
      <c r="E93" s="420">
        <f>SUM(E94:E100)</f>
        <v>1528560000</v>
      </c>
      <c r="F93" s="412">
        <f t="shared" si="13"/>
        <v>1528560000</v>
      </c>
      <c r="G93" s="411"/>
      <c r="H93" s="412">
        <f t="shared" si="14"/>
        <v>1528560000</v>
      </c>
      <c r="I93" s="412"/>
      <c r="J93" s="412">
        <f>SUM(J94:J104)</f>
        <v>50076480</v>
      </c>
      <c r="K93" s="1097">
        <f>SUM(K94:K100)</f>
        <v>291374011</v>
      </c>
      <c r="L93" s="1098">
        <f t="shared" si="15"/>
        <v>1870010491</v>
      </c>
      <c r="M93" s="1099">
        <f>SUM(M94:M100)</f>
        <v>582192715</v>
      </c>
      <c r="N93" s="1099">
        <f>SUM(N94:N100)</f>
        <v>765511204</v>
      </c>
      <c r="O93" s="1099">
        <f>SUM(O94:O100)</f>
        <v>521178968</v>
      </c>
      <c r="P93" s="1099">
        <f t="shared" si="16"/>
        <v>1868882887</v>
      </c>
      <c r="Q93" s="1107">
        <f t="shared" si="17"/>
        <v>0.9993970065914459</v>
      </c>
    </row>
    <row r="94" spans="1:17" ht="15" customHeight="1" hidden="1" outlineLevel="1">
      <c r="A94" s="1020" t="s">
        <v>617</v>
      </c>
      <c r="B94" s="1109"/>
      <c r="C94" s="414"/>
      <c r="D94" s="414"/>
      <c r="E94" s="564">
        <v>96600000</v>
      </c>
      <c r="F94" s="564">
        <f t="shared" si="13"/>
        <v>96600000</v>
      </c>
      <c r="G94" s="411"/>
      <c r="H94" s="564">
        <f t="shared" si="14"/>
        <v>96600000</v>
      </c>
      <c r="I94" s="564"/>
      <c r="J94" s="1111">
        <v>10000000</v>
      </c>
      <c r="K94" s="1102"/>
      <c r="L94" s="1103">
        <f t="shared" si="15"/>
        <v>106600000</v>
      </c>
      <c r="M94" s="1104">
        <v>46478796</v>
      </c>
      <c r="N94" s="1103">
        <v>57071204</v>
      </c>
      <c r="O94" s="1103">
        <v>3050000</v>
      </c>
      <c r="P94" s="1104">
        <f t="shared" si="16"/>
        <v>106600000</v>
      </c>
      <c r="Q94" s="1105">
        <f t="shared" si="17"/>
        <v>1</v>
      </c>
    </row>
    <row r="95" spans="1:17" ht="15" customHeight="1" hidden="1" outlineLevel="1">
      <c r="A95" s="1020" t="s">
        <v>618</v>
      </c>
      <c r="B95" s="1109"/>
      <c r="C95" s="414"/>
      <c r="D95" s="414"/>
      <c r="E95" s="564">
        <v>1160000000</v>
      </c>
      <c r="F95" s="564">
        <f t="shared" si="13"/>
        <v>1160000000</v>
      </c>
      <c r="G95" s="411"/>
      <c r="H95" s="564">
        <f>+F95+G95+13529830</f>
        <v>1173529830</v>
      </c>
      <c r="I95" s="564"/>
      <c r="J95" s="1111"/>
      <c r="K95" s="1102">
        <f>61374011+230000000</f>
        <v>291374011</v>
      </c>
      <c r="L95" s="1103">
        <f t="shared" si="15"/>
        <v>1464903841</v>
      </c>
      <c r="M95" s="1104">
        <v>428402329</v>
      </c>
      <c r="N95" s="1103">
        <v>571000000</v>
      </c>
      <c r="O95" s="1103">
        <v>464800000</v>
      </c>
      <c r="P95" s="1104">
        <f t="shared" si="16"/>
        <v>1464202329</v>
      </c>
      <c r="Q95" s="1105">
        <f t="shared" si="17"/>
        <v>0.9995211207859752</v>
      </c>
    </row>
    <row r="96" spans="1:17" ht="15" customHeight="1" hidden="1" outlineLevel="1">
      <c r="A96" s="1017" t="s">
        <v>619</v>
      </c>
      <c r="B96" s="1109"/>
      <c r="C96" s="414"/>
      <c r="D96" s="414"/>
      <c r="E96" s="564">
        <v>120000000</v>
      </c>
      <c r="F96" s="564">
        <f t="shared" si="13"/>
        <v>120000000</v>
      </c>
      <c r="G96" s="411"/>
      <c r="H96" s="564">
        <f t="shared" si="14"/>
        <v>120000000</v>
      </c>
      <c r="I96" s="564"/>
      <c r="J96" s="1111"/>
      <c r="K96" s="1102"/>
      <c r="L96" s="1103">
        <f t="shared" si="15"/>
        <v>120000000</v>
      </c>
      <c r="M96" s="1104">
        <v>60000000</v>
      </c>
      <c r="N96" s="1103">
        <v>60000000</v>
      </c>
      <c r="O96" s="1103">
        <v>0</v>
      </c>
      <c r="P96" s="1104">
        <f t="shared" si="16"/>
        <v>120000000</v>
      </c>
      <c r="Q96" s="1105">
        <f t="shared" si="17"/>
        <v>1</v>
      </c>
    </row>
    <row r="97" spans="1:17" ht="15" customHeight="1" hidden="1" outlineLevel="1">
      <c r="A97" s="1020" t="s">
        <v>620</v>
      </c>
      <c r="B97" s="1109"/>
      <c r="C97" s="414"/>
      <c r="D97" s="414"/>
      <c r="E97" s="564">
        <v>10000000</v>
      </c>
      <c r="F97" s="564">
        <f t="shared" si="13"/>
        <v>10000000</v>
      </c>
      <c r="G97" s="411"/>
      <c r="H97" s="564">
        <f t="shared" si="14"/>
        <v>10000000</v>
      </c>
      <c r="I97" s="564"/>
      <c r="J97" s="1111"/>
      <c r="K97" s="1102"/>
      <c r="L97" s="1103">
        <f t="shared" si="15"/>
        <v>10000000</v>
      </c>
      <c r="M97" s="1104">
        <v>4933908</v>
      </c>
      <c r="N97" s="1103">
        <v>4640000</v>
      </c>
      <c r="O97" s="1103">
        <v>0</v>
      </c>
      <c r="P97" s="1104">
        <f t="shared" si="16"/>
        <v>9573908</v>
      </c>
      <c r="Q97" s="1105">
        <f t="shared" si="17"/>
        <v>0.9573908</v>
      </c>
    </row>
    <row r="98" spans="1:17" ht="15" customHeight="1" hidden="1" outlineLevel="1">
      <c r="A98" s="1017" t="s">
        <v>535</v>
      </c>
      <c r="B98" s="1109"/>
      <c r="C98" s="414"/>
      <c r="D98" s="414"/>
      <c r="E98" s="564">
        <v>77500000</v>
      </c>
      <c r="F98" s="564">
        <f t="shared" si="13"/>
        <v>77500000</v>
      </c>
      <c r="G98" s="411"/>
      <c r="H98" s="564">
        <f t="shared" si="14"/>
        <v>77500000</v>
      </c>
      <c r="I98" s="564"/>
      <c r="J98" s="1111"/>
      <c r="K98" s="1102"/>
      <c r="L98" s="1103">
        <f t="shared" si="15"/>
        <v>77500000</v>
      </c>
      <c r="M98" s="1104">
        <v>25563824</v>
      </c>
      <c r="N98" s="1103">
        <v>40000000</v>
      </c>
      <c r="O98" s="1103">
        <v>11936176</v>
      </c>
      <c r="P98" s="1104">
        <f t="shared" si="16"/>
        <v>77500000</v>
      </c>
      <c r="Q98" s="1105">
        <f t="shared" si="17"/>
        <v>1</v>
      </c>
    </row>
    <row r="99" spans="1:17" ht="15" customHeight="1" hidden="1" outlineLevel="1">
      <c r="A99" s="1017" t="s">
        <v>621</v>
      </c>
      <c r="B99" s="1109"/>
      <c r="C99" s="414"/>
      <c r="D99" s="414"/>
      <c r="E99" s="564">
        <v>2000000</v>
      </c>
      <c r="F99" s="564">
        <f t="shared" si="13"/>
        <v>2000000</v>
      </c>
      <c r="G99" s="411"/>
      <c r="H99" s="564">
        <f t="shared" si="14"/>
        <v>2000000</v>
      </c>
      <c r="I99" s="564"/>
      <c r="J99" s="1111">
        <v>40076480</v>
      </c>
      <c r="K99" s="1102"/>
      <c r="L99" s="1103">
        <f t="shared" si="15"/>
        <v>42076480</v>
      </c>
      <c r="M99" s="1104">
        <v>999512</v>
      </c>
      <c r="N99" s="1103">
        <v>20500000</v>
      </c>
      <c r="O99" s="1103">
        <v>20576968</v>
      </c>
      <c r="P99" s="1104">
        <f t="shared" si="16"/>
        <v>42076480</v>
      </c>
      <c r="Q99" s="1105">
        <f t="shared" si="17"/>
        <v>1</v>
      </c>
    </row>
    <row r="100" spans="1:17" ht="15" customHeight="1" hidden="1" outlineLevel="1">
      <c r="A100" s="1020" t="s">
        <v>622</v>
      </c>
      <c r="B100" s="1109"/>
      <c r="C100" s="414"/>
      <c r="D100" s="414"/>
      <c r="E100" s="564">
        <v>62460000</v>
      </c>
      <c r="F100" s="564">
        <f t="shared" si="13"/>
        <v>62460000</v>
      </c>
      <c r="G100" s="411"/>
      <c r="H100" s="564">
        <f>+F100+G100-13529830</f>
        <v>48930170</v>
      </c>
      <c r="I100" s="564"/>
      <c r="J100" s="1111"/>
      <c r="K100" s="1102"/>
      <c r="L100" s="1103">
        <f t="shared" si="15"/>
        <v>48930170</v>
      </c>
      <c r="M100" s="1104">
        <v>15814346</v>
      </c>
      <c r="N100" s="1103">
        <v>12300000</v>
      </c>
      <c r="O100" s="1103">
        <v>20815824</v>
      </c>
      <c r="P100" s="1104">
        <f t="shared" si="16"/>
        <v>48930170</v>
      </c>
      <c r="Q100" s="1105">
        <f t="shared" si="17"/>
        <v>1</v>
      </c>
    </row>
    <row r="101" spans="1:17" ht="15" collapsed="1">
      <c r="A101" s="1018" t="s">
        <v>418</v>
      </c>
      <c r="B101" s="1109"/>
      <c r="C101" s="414"/>
      <c r="D101" s="414"/>
      <c r="E101" s="420">
        <f>SUM(E102:E104)</f>
        <v>176733656.12</v>
      </c>
      <c r="F101" s="412">
        <f t="shared" si="13"/>
        <v>176733656.12</v>
      </c>
      <c r="G101" s="411"/>
      <c r="H101" s="412">
        <f t="shared" si="14"/>
        <v>176733656.12</v>
      </c>
      <c r="I101" s="412"/>
      <c r="J101" s="1106"/>
      <c r="K101" s="1097">
        <f>SUM(K102:K104)</f>
        <v>-13459533</v>
      </c>
      <c r="L101" s="1098">
        <f t="shared" si="15"/>
        <v>163274123.12</v>
      </c>
      <c r="M101" s="1099">
        <f>SUM(M102:M104)</f>
        <v>74659018</v>
      </c>
      <c r="N101" s="1099">
        <f>SUM(N102:N104)</f>
        <v>44091664</v>
      </c>
      <c r="O101" s="1099">
        <f>SUM(O102:O104)</f>
        <v>37523441</v>
      </c>
      <c r="P101" s="1099">
        <f t="shared" si="16"/>
        <v>156274123</v>
      </c>
      <c r="Q101" s="1107">
        <f t="shared" si="17"/>
        <v>0.9571273145662201</v>
      </c>
    </row>
    <row r="102" spans="1:17" ht="15" customHeight="1" hidden="1" outlineLevel="1">
      <c r="A102" s="1021" t="s">
        <v>536</v>
      </c>
      <c r="B102" s="1109"/>
      <c r="C102" s="414"/>
      <c r="D102" s="414"/>
      <c r="E102" s="414">
        <v>146733656.12</v>
      </c>
      <c r="F102" s="564">
        <f t="shared" si="13"/>
        <v>146733656.12</v>
      </c>
      <c r="G102" s="411"/>
      <c r="H102" s="564">
        <f t="shared" si="14"/>
        <v>146733656.12</v>
      </c>
      <c r="I102" s="564"/>
      <c r="J102" s="1111"/>
      <c r="K102" s="1102">
        <v>-7000000</v>
      </c>
      <c r="L102" s="1103">
        <f t="shared" si="15"/>
        <v>139733656.12</v>
      </c>
      <c r="M102" s="1104">
        <v>70118551</v>
      </c>
      <c r="N102" s="1103">
        <v>42091664</v>
      </c>
      <c r="O102" s="1103">
        <v>27523441</v>
      </c>
      <c r="P102" s="1104">
        <f t="shared" si="16"/>
        <v>139733656</v>
      </c>
      <c r="Q102" s="1105">
        <f t="shared" si="17"/>
        <v>0.9999999991412233</v>
      </c>
    </row>
    <row r="103" spans="1:17" ht="15" customHeight="1" hidden="1" outlineLevel="1">
      <c r="A103" s="1021" t="s">
        <v>537</v>
      </c>
      <c r="B103" s="1109"/>
      <c r="C103" s="414"/>
      <c r="D103" s="414"/>
      <c r="E103" s="414">
        <v>14000000</v>
      </c>
      <c r="F103" s="564">
        <f t="shared" si="13"/>
        <v>14000000</v>
      </c>
      <c r="G103" s="411"/>
      <c r="H103" s="564">
        <f t="shared" si="14"/>
        <v>14000000</v>
      </c>
      <c r="I103" s="564"/>
      <c r="J103" s="1111"/>
      <c r="K103" s="1102"/>
      <c r="L103" s="1103">
        <f t="shared" si="15"/>
        <v>14000000</v>
      </c>
      <c r="M103" s="1104">
        <v>0</v>
      </c>
      <c r="N103" s="1103">
        <v>0</v>
      </c>
      <c r="O103" s="1103">
        <v>7000000</v>
      </c>
      <c r="P103" s="1104">
        <f t="shared" si="16"/>
        <v>7000000</v>
      </c>
      <c r="Q103" s="1105">
        <f t="shared" si="17"/>
        <v>0.5</v>
      </c>
    </row>
    <row r="104" spans="1:17" ht="15" customHeight="1" hidden="1" outlineLevel="1">
      <c r="A104" s="1021" t="s">
        <v>639</v>
      </c>
      <c r="B104" s="1109"/>
      <c r="C104" s="414"/>
      <c r="D104" s="414"/>
      <c r="E104" s="414">
        <v>16000000</v>
      </c>
      <c r="F104" s="564">
        <f t="shared" si="13"/>
        <v>16000000</v>
      </c>
      <c r="G104" s="411"/>
      <c r="H104" s="564">
        <f t="shared" si="14"/>
        <v>16000000</v>
      </c>
      <c r="I104" s="564"/>
      <c r="J104" s="1111"/>
      <c r="K104" s="1102">
        <v>-6459533</v>
      </c>
      <c r="L104" s="1103">
        <f t="shared" si="15"/>
        <v>9540467</v>
      </c>
      <c r="M104" s="1104">
        <v>4540467</v>
      </c>
      <c r="N104" s="1103">
        <v>2000000</v>
      </c>
      <c r="O104" s="1103">
        <v>3000000</v>
      </c>
      <c r="P104" s="1104">
        <f t="shared" si="16"/>
        <v>9540467</v>
      </c>
      <c r="Q104" s="1105">
        <f t="shared" si="17"/>
        <v>1</v>
      </c>
    </row>
    <row r="105" spans="1:17" ht="15" customHeight="1" hidden="1" outlineLevel="1">
      <c r="A105" s="1017"/>
      <c r="B105" s="1109"/>
      <c r="C105" s="414"/>
      <c r="D105" s="414"/>
      <c r="E105" s="564"/>
      <c r="F105" s="412"/>
      <c r="G105" s="411"/>
      <c r="H105" s="412"/>
      <c r="I105" s="412"/>
      <c r="J105" s="1106"/>
      <c r="K105" s="1112"/>
      <c r="L105" s="1098"/>
      <c r="M105" s="1099"/>
      <c r="N105" s="1098"/>
      <c r="O105" s="1098"/>
      <c r="P105" s="1099"/>
      <c r="Q105" s="1105"/>
    </row>
    <row r="106" spans="1:17" ht="15" collapsed="1">
      <c r="A106" s="1018" t="s">
        <v>538</v>
      </c>
      <c r="B106" s="1109"/>
      <c r="C106" s="414"/>
      <c r="D106" s="414"/>
      <c r="E106" s="420">
        <f>SUM(E107:E109)</f>
        <v>75004555.7824</v>
      </c>
      <c r="F106" s="412">
        <f t="shared" si="13"/>
        <v>75004555.7824</v>
      </c>
      <c r="G106" s="411"/>
      <c r="H106" s="412">
        <f t="shared" si="14"/>
        <v>75004555.7824</v>
      </c>
      <c r="I106" s="412"/>
      <c r="J106" s="1106"/>
      <c r="K106" s="1097">
        <f>SUM(K107:K109)</f>
        <v>30000000</v>
      </c>
      <c r="L106" s="1098">
        <f>SUM(H106:K106)</f>
        <v>105004555.7824</v>
      </c>
      <c r="M106" s="1099">
        <f>SUM(M107:M109)</f>
        <v>21198811</v>
      </c>
      <c r="N106" s="1099">
        <f>SUM(N107:N109)</f>
        <v>15304716</v>
      </c>
      <c r="O106" s="1099">
        <f>SUM(O107:O109)</f>
        <v>68342028</v>
      </c>
      <c r="P106" s="1099">
        <f t="shared" si="16"/>
        <v>104845555</v>
      </c>
      <c r="Q106" s="1107">
        <f t="shared" si="17"/>
        <v>0.9984857725341985</v>
      </c>
    </row>
    <row r="107" spans="1:17" ht="15" customHeight="1" hidden="1" outlineLevel="1">
      <c r="A107" s="1020" t="s">
        <v>539</v>
      </c>
      <c r="B107" s="1109"/>
      <c r="C107" s="414"/>
      <c r="D107" s="414"/>
      <c r="E107" s="564">
        <v>37804555.7824</v>
      </c>
      <c r="F107" s="564">
        <v>37804555.7824</v>
      </c>
      <c r="G107" s="411"/>
      <c r="H107" s="564">
        <f>37804555.7824+159000</f>
        <v>37963555.7824</v>
      </c>
      <c r="I107" s="564"/>
      <c r="J107" s="1111"/>
      <c r="K107" s="1102">
        <v>30000000</v>
      </c>
      <c r="L107" s="1103">
        <f>SUM(H107:K107)</f>
        <v>67963555.7824</v>
      </c>
      <c r="M107" s="1104">
        <v>21198811</v>
      </c>
      <c r="N107" s="1103">
        <v>9463716</v>
      </c>
      <c r="O107" s="1103">
        <v>37142028</v>
      </c>
      <c r="P107" s="1104">
        <f t="shared" si="16"/>
        <v>67804555</v>
      </c>
      <c r="Q107" s="1105">
        <f t="shared" si="17"/>
        <v>0.9976604993577871</v>
      </c>
    </row>
    <row r="108" spans="1:17" ht="15" customHeight="1" hidden="1" outlineLevel="1">
      <c r="A108" s="1020" t="s">
        <v>640</v>
      </c>
      <c r="B108" s="1109"/>
      <c r="C108" s="414"/>
      <c r="D108" s="414"/>
      <c r="E108" s="564">
        <v>31200000</v>
      </c>
      <c r="F108" s="564">
        <v>31200000</v>
      </c>
      <c r="G108" s="411"/>
      <c r="H108" s="564">
        <v>31200000</v>
      </c>
      <c r="I108" s="564"/>
      <c r="J108" s="1111"/>
      <c r="K108" s="1102"/>
      <c r="L108" s="1103">
        <f>SUM(H108:K108)</f>
        <v>31200000</v>
      </c>
      <c r="M108" s="1104">
        <v>0</v>
      </c>
      <c r="N108" s="1103">
        <v>0</v>
      </c>
      <c r="O108" s="1103">
        <v>31200000</v>
      </c>
      <c r="P108" s="1104">
        <f t="shared" si="16"/>
        <v>31200000</v>
      </c>
      <c r="Q108" s="1105">
        <f t="shared" si="17"/>
        <v>1</v>
      </c>
    </row>
    <row r="109" spans="1:17" ht="15" customHeight="1" hidden="1" outlineLevel="1">
      <c r="A109" s="1020" t="s">
        <v>623</v>
      </c>
      <c r="B109" s="1109"/>
      <c r="C109" s="414"/>
      <c r="D109" s="414"/>
      <c r="E109" s="564">
        <v>6000000</v>
      </c>
      <c r="F109" s="564">
        <v>6000000</v>
      </c>
      <c r="G109" s="411"/>
      <c r="H109" s="564">
        <f>+F109-159000</f>
        <v>5841000</v>
      </c>
      <c r="I109" s="564"/>
      <c r="J109" s="1111"/>
      <c r="K109" s="1102"/>
      <c r="L109" s="1103">
        <f>SUM(H109:K109)</f>
        <v>5841000</v>
      </c>
      <c r="M109" s="1104">
        <v>0</v>
      </c>
      <c r="N109" s="1103">
        <v>5841000</v>
      </c>
      <c r="O109" s="1103">
        <v>0</v>
      </c>
      <c r="P109" s="1104">
        <f t="shared" si="16"/>
        <v>5841000</v>
      </c>
      <c r="Q109" s="1105">
        <f t="shared" si="17"/>
        <v>1</v>
      </c>
    </row>
    <row r="110" spans="1:17" ht="15" collapsed="1">
      <c r="A110" s="1018" t="s">
        <v>624</v>
      </c>
      <c r="B110" s="1109"/>
      <c r="C110" s="414"/>
      <c r="D110" s="414"/>
      <c r="E110" s="420">
        <f>SUM(E111)</f>
        <v>131900000</v>
      </c>
      <c r="F110" s="412">
        <f>+E110+D110+C110+B110</f>
        <v>131900000</v>
      </c>
      <c r="G110" s="411"/>
      <c r="H110" s="412">
        <f>+F110+G110</f>
        <v>131900000</v>
      </c>
      <c r="I110" s="412"/>
      <c r="J110" s="1106"/>
      <c r="K110" s="1097">
        <f>SUM(K111)</f>
        <v>0</v>
      </c>
      <c r="L110" s="1098">
        <f>SUM(H110:K110)</f>
        <v>131900000</v>
      </c>
      <c r="M110" s="1099">
        <f>+M111</f>
        <v>60248804</v>
      </c>
      <c r="N110" s="1099">
        <f>+N111</f>
        <v>36660000</v>
      </c>
      <c r="O110" s="1099">
        <f>+O111</f>
        <v>34991196</v>
      </c>
      <c r="P110" s="1099">
        <f t="shared" si="16"/>
        <v>131900000</v>
      </c>
      <c r="Q110" s="1107">
        <f t="shared" si="17"/>
        <v>1</v>
      </c>
    </row>
    <row r="111" spans="1:17" ht="15" customHeight="1" hidden="1" outlineLevel="1">
      <c r="A111" s="1020" t="s">
        <v>625</v>
      </c>
      <c r="B111" s="1109"/>
      <c r="C111" s="414"/>
      <c r="D111" s="414"/>
      <c r="E111" s="564">
        <v>131900000</v>
      </c>
      <c r="F111" s="564">
        <v>131900000</v>
      </c>
      <c r="G111" s="411"/>
      <c r="H111" s="564">
        <v>131900000</v>
      </c>
      <c r="I111" s="564"/>
      <c r="J111" s="1111"/>
      <c r="K111" s="1102"/>
      <c r="L111" s="1103">
        <f>+H111+I111+J111</f>
        <v>131900000</v>
      </c>
      <c r="M111" s="1104">
        <v>60248804</v>
      </c>
      <c r="N111" s="1103">
        <v>36660000</v>
      </c>
      <c r="O111" s="1103">
        <v>34991196</v>
      </c>
      <c r="P111" s="1104">
        <f t="shared" si="16"/>
        <v>131900000</v>
      </c>
      <c r="Q111" s="1105">
        <f t="shared" si="17"/>
        <v>1</v>
      </c>
    </row>
    <row r="112" spans="1:17" ht="17.25" customHeight="1" collapsed="1">
      <c r="A112" s="1020"/>
      <c r="B112" s="1109"/>
      <c r="C112" s="414"/>
      <c r="D112" s="414"/>
      <c r="E112" s="564"/>
      <c r="F112" s="564"/>
      <c r="G112" s="411"/>
      <c r="H112" s="412"/>
      <c r="I112" s="412"/>
      <c r="J112" s="1106"/>
      <c r="K112" s="1112"/>
      <c r="L112" s="1098"/>
      <c r="M112" s="1099"/>
      <c r="N112" s="1098"/>
      <c r="O112" s="1098"/>
      <c r="P112" s="1099"/>
      <c r="Q112" s="1105"/>
    </row>
    <row r="113" spans="1:17" s="939" customFormat="1" ht="15.75" customHeight="1">
      <c r="A113" s="407" t="s">
        <v>12</v>
      </c>
      <c r="B113" s="1109"/>
      <c r="C113" s="412">
        <f>+C114+C119+C133+C138</f>
        <v>680455080</v>
      </c>
      <c r="D113" s="414"/>
      <c r="E113" s="411"/>
      <c r="F113" s="412">
        <v>680455080</v>
      </c>
      <c r="G113" s="414"/>
      <c r="H113" s="412">
        <f>+F113+G113</f>
        <v>680455080</v>
      </c>
      <c r="I113" s="412"/>
      <c r="J113" s="1106">
        <f>+J114+J119+J133+J138</f>
        <v>35000000</v>
      </c>
      <c r="K113" s="1097">
        <f>+K114+K119+K133+K138</f>
        <v>120410000</v>
      </c>
      <c r="L113" s="1098">
        <f>SUM(H113:K113)</f>
        <v>835865080</v>
      </c>
      <c r="M113" s="1099">
        <f>+M114+M119+M133+M138</f>
        <v>205381796</v>
      </c>
      <c r="N113" s="1099">
        <f>+N114+N119+N133+N138</f>
        <v>150388738</v>
      </c>
      <c r="O113" s="1099">
        <f>+O114+O119+O133+O138</f>
        <v>362075048</v>
      </c>
      <c r="P113" s="1099">
        <f t="shared" si="16"/>
        <v>717845582</v>
      </c>
      <c r="Q113" s="1107">
        <f t="shared" si="17"/>
        <v>0.8588055646492614</v>
      </c>
    </row>
    <row r="114" spans="1:17" s="939" customFormat="1" ht="15">
      <c r="A114" s="417" t="s">
        <v>279</v>
      </c>
      <c r="B114" s="1109"/>
      <c r="C114" s="1109">
        <f>+C115+C116+C117</f>
        <v>60000000</v>
      </c>
      <c r="D114" s="414"/>
      <c r="E114" s="411"/>
      <c r="F114" s="412">
        <v>60000000</v>
      </c>
      <c r="G114" s="411"/>
      <c r="H114" s="412">
        <f>+F114+G114</f>
        <v>60000000</v>
      </c>
      <c r="I114" s="412"/>
      <c r="J114" s="1106"/>
      <c r="K114" s="1110">
        <f>+K115+K116+K117</f>
        <v>0</v>
      </c>
      <c r="L114" s="1098">
        <f>SUM(H114:K114)</f>
        <v>60000000</v>
      </c>
      <c r="M114" s="1099">
        <f>+M115+M116+M117</f>
        <v>2207679</v>
      </c>
      <c r="N114" s="1099">
        <f>+N115+N116+N117</f>
        <v>0</v>
      </c>
      <c r="O114" s="1099">
        <f>+O115+O116+O117</f>
        <v>57792321</v>
      </c>
      <c r="P114" s="1099">
        <f t="shared" si="16"/>
        <v>60000000</v>
      </c>
      <c r="Q114" s="1107">
        <f t="shared" si="17"/>
        <v>1</v>
      </c>
    </row>
    <row r="115" spans="1:17" s="939" customFormat="1" ht="15" customHeight="1" hidden="1" outlineLevel="1">
      <c r="A115" s="1021" t="s">
        <v>456</v>
      </c>
      <c r="B115" s="1109"/>
      <c r="C115" s="1094">
        <v>60000000</v>
      </c>
      <c r="D115" s="414"/>
      <c r="E115" s="1022"/>
      <c r="F115" s="414">
        <v>60000000</v>
      </c>
      <c r="G115" s="1022"/>
      <c r="H115" s="564">
        <v>60000000</v>
      </c>
      <c r="I115" s="564"/>
      <c r="J115" s="1111"/>
      <c r="K115" s="1102"/>
      <c r="L115" s="1103">
        <f>SUM(H115:K115)</f>
        <v>60000000</v>
      </c>
      <c r="M115" s="1104">
        <v>2207679</v>
      </c>
      <c r="N115" s="1103">
        <v>0</v>
      </c>
      <c r="O115" s="1103">
        <v>57792321</v>
      </c>
      <c r="P115" s="1104">
        <f t="shared" si="16"/>
        <v>60000000</v>
      </c>
      <c r="Q115" s="1105">
        <f t="shared" si="17"/>
        <v>1</v>
      </c>
    </row>
    <row r="116" spans="1:17" s="939" customFormat="1" ht="15" customHeight="1" hidden="1" outlineLevel="1">
      <c r="A116" s="1021" t="s">
        <v>457</v>
      </c>
      <c r="B116" s="1109"/>
      <c r="C116" s="1094">
        <v>0</v>
      </c>
      <c r="D116" s="414"/>
      <c r="E116" s="1022"/>
      <c r="F116" s="1094">
        <v>0</v>
      </c>
      <c r="G116" s="1022"/>
      <c r="H116" s="1094">
        <v>0</v>
      </c>
      <c r="I116" s="1094"/>
      <c r="J116" s="1093"/>
      <c r="K116" s="1113"/>
      <c r="L116" s="1103">
        <f>SUM(H116:K116)</f>
        <v>0</v>
      </c>
      <c r="M116" s="1104">
        <v>0</v>
      </c>
      <c r="N116" s="1103">
        <v>0</v>
      </c>
      <c r="O116" s="1103">
        <v>0</v>
      </c>
      <c r="P116" s="1104">
        <f t="shared" si="16"/>
        <v>0</v>
      </c>
      <c r="Q116" s="1105">
        <v>0</v>
      </c>
    </row>
    <row r="117" spans="1:17" s="939" customFormat="1" ht="15" customHeight="1" hidden="1" outlineLevel="1">
      <c r="A117" s="1021" t="s">
        <v>458</v>
      </c>
      <c r="B117" s="1109"/>
      <c r="C117" s="1094">
        <v>0</v>
      </c>
      <c r="D117" s="414"/>
      <c r="E117" s="1022"/>
      <c r="F117" s="1094">
        <v>0</v>
      </c>
      <c r="G117" s="1022"/>
      <c r="H117" s="1094">
        <v>0</v>
      </c>
      <c r="I117" s="1094"/>
      <c r="J117" s="1093"/>
      <c r="K117" s="1113"/>
      <c r="L117" s="1103">
        <f>SUM(H117:K117)</f>
        <v>0</v>
      </c>
      <c r="M117" s="1104">
        <v>0</v>
      </c>
      <c r="N117" s="1103">
        <v>0</v>
      </c>
      <c r="O117" s="1103">
        <v>0</v>
      </c>
      <c r="P117" s="1104">
        <f t="shared" si="16"/>
        <v>0</v>
      </c>
      <c r="Q117" s="1105">
        <v>0</v>
      </c>
    </row>
    <row r="118" spans="1:17" s="939" customFormat="1" ht="15" customHeight="1" hidden="1" outlineLevel="1">
      <c r="A118" s="417"/>
      <c r="B118" s="1109"/>
      <c r="C118" s="1109"/>
      <c r="D118" s="414"/>
      <c r="E118" s="411"/>
      <c r="F118" s="412"/>
      <c r="G118" s="411"/>
      <c r="H118" s="412"/>
      <c r="I118" s="412"/>
      <c r="J118" s="1106"/>
      <c r="K118" s="1112"/>
      <c r="L118" s="1098"/>
      <c r="M118" s="1099"/>
      <c r="N118" s="1098"/>
      <c r="O118" s="1098"/>
      <c r="P118" s="1099"/>
      <c r="Q118" s="1105"/>
    </row>
    <row r="119" spans="1:17" s="939" customFormat="1" ht="15" collapsed="1">
      <c r="A119" s="417" t="s">
        <v>13</v>
      </c>
      <c r="B119" s="412"/>
      <c r="C119" s="412">
        <f>+C120+C124+C130</f>
        <v>263505064</v>
      </c>
      <c r="D119" s="411"/>
      <c r="E119" s="411"/>
      <c r="F119" s="412">
        <f aca="true" t="shared" si="18" ref="F119:F131">+B119+C119+D119+E119</f>
        <v>263505064</v>
      </c>
      <c r="G119" s="411"/>
      <c r="H119" s="412">
        <f>+F119+G119</f>
        <v>263505064</v>
      </c>
      <c r="I119" s="412"/>
      <c r="J119" s="1106"/>
      <c r="K119" s="1097">
        <f>+K120+K124+K130</f>
        <v>120410000</v>
      </c>
      <c r="L119" s="1098">
        <f aca="true" t="shared" si="19" ref="L119:L131">SUM(H119:K119)</f>
        <v>383915064</v>
      </c>
      <c r="M119" s="1099">
        <f>+M120+M124+M130</f>
        <v>124106867</v>
      </c>
      <c r="N119" s="1099">
        <f>+N120+N124+N130</f>
        <v>78680000</v>
      </c>
      <c r="O119" s="1099">
        <f>+O120+O124+O130</f>
        <v>181128197</v>
      </c>
      <c r="P119" s="1099">
        <f t="shared" si="16"/>
        <v>383915064</v>
      </c>
      <c r="Q119" s="1107">
        <f t="shared" si="17"/>
        <v>1</v>
      </c>
    </row>
    <row r="120" spans="1:17" s="939" customFormat="1" ht="15" customHeight="1" hidden="1" outlineLevel="1">
      <c r="A120" s="1020" t="s">
        <v>14</v>
      </c>
      <c r="B120" s="414"/>
      <c r="C120" s="564">
        <f>SUM(C121:C123)</f>
        <v>87910000</v>
      </c>
      <c r="D120" s="411"/>
      <c r="E120" s="411"/>
      <c r="F120" s="564">
        <f t="shared" si="18"/>
        <v>87910000</v>
      </c>
      <c r="G120" s="411"/>
      <c r="H120" s="564">
        <f aca="true" t="shared" si="20" ref="H120:H131">+F120+G120</f>
        <v>87910000</v>
      </c>
      <c r="I120" s="564"/>
      <c r="J120" s="1111"/>
      <c r="K120" s="1016">
        <f>SUM(K121:K123)</f>
        <v>120410000</v>
      </c>
      <c r="L120" s="1098">
        <f t="shared" si="19"/>
        <v>208320000</v>
      </c>
      <c r="M120" s="1099">
        <f>+M121+M122+M123</f>
        <v>59057792</v>
      </c>
      <c r="N120" s="1099">
        <f>+N121+N122+N123</f>
        <v>11200000</v>
      </c>
      <c r="O120" s="1099">
        <f>+O121+O122+O123</f>
        <v>138062208</v>
      </c>
      <c r="P120" s="1099">
        <f t="shared" si="16"/>
        <v>208320000</v>
      </c>
      <c r="Q120" s="1107">
        <f t="shared" si="17"/>
        <v>1</v>
      </c>
    </row>
    <row r="121" spans="1:17" s="939" customFormat="1" ht="14.25" customHeight="1" hidden="1" outlineLevel="2">
      <c r="A121" s="419" t="s">
        <v>577</v>
      </c>
      <c r="B121" s="414"/>
      <c r="C121" s="414">
        <v>22400000</v>
      </c>
      <c r="D121" s="411"/>
      <c r="E121" s="411"/>
      <c r="F121" s="564">
        <f t="shared" si="18"/>
        <v>22400000</v>
      </c>
      <c r="G121" s="411"/>
      <c r="H121" s="564">
        <f t="shared" si="20"/>
        <v>22400000</v>
      </c>
      <c r="I121" s="564"/>
      <c r="J121" s="1111"/>
      <c r="K121" s="1102"/>
      <c r="L121" s="1103">
        <f t="shared" si="19"/>
        <v>22400000</v>
      </c>
      <c r="M121" s="1104">
        <v>5599074</v>
      </c>
      <c r="N121" s="1103">
        <v>8400000</v>
      </c>
      <c r="O121" s="1103">
        <v>8400926</v>
      </c>
      <c r="P121" s="1104">
        <f t="shared" si="16"/>
        <v>22400000</v>
      </c>
      <c r="Q121" s="1105">
        <f t="shared" si="17"/>
        <v>1</v>
      </c>
    </row>
    <row r="122" spans="1:17" s="939" customFormat="1" ht="14.25" customHeight="1" hidden="1" outlineLevel="2">
      <c r="A122" s="419" t="s">
        <v>576</v>
      </c>
      <c r="B122" s="414"/>
      <c r="C122" s="414">
        <f>11200000+10000000</f>
        <v>21200000</v>
      </c>
      <c r="D122" s="411"/>
      <c r="E122" s="411"/>
      <c r="F122" s="564">
        <f t="shared" si="18"/>
        <v>21200000</v>
      </c>
      <c r="G122" s="411"/>
      <c r="H122" s="564">
        <f t="shared" si="20"/>
        <v>21200000</v>
      </c>
      <c r="I122" s="564"/>
      <c r="J122" s="1111"/>
      <c r="K122" s="1102"/>
      <c r="L122" s="1103">
        <f t="shared" si="19"/>
        <v>21200000</v>
      </c>
      <c r="M122" s="1104">
        <v>15665800</v>
      </c>
      <c r="N122" s="1103">
        <v>2800000</v>
      </c>
      <c r="O122" s="1103">
        <v>2734200</v>
      </c>
      <c r="P122" s="1104">
        <f t="shared" si="16"/>
        <v>21200000</v>
      </c>
      <c r="Q122" s="1105">
        <f t="shared" si="17"/>
        <v>1</v>
      </c>
    </row>
    <row r="123" spans="1:17" s="939" customFormat="1" ht="14.25" customHeight="1" hidden="1" outlineLevel="2">
      <c r="A123" s="419" t="s">
        <v>578</v>
      </c>
      <c r="B123" s="414"/>
      <c r="C123" s="414">
        <f>14310000+30000000</f>
        <v>44310000</v>
      </c>
      <c r="D123" s="411"/>
      <c r="E123" s="411"/>
      <c r="F123" s="564">
        <f t="shared" si="18"/>
        <v>44310000</v>
      </c>
      <c r="G123" s="411"/>
      <c r="H123" s="564">
        <f t="shared" si="20"/>
        <v>44310000</v>
      </c>
      <c r="I123" s="564"/>
      <c r="J123" s="1111"/>
      <c r="K123" s="1102">
        <v>120410000</v>
      </c>
      <c r="L123" s="1103">
        <f t="shared" si="19"/>
        <v>164720000</v>
      </c>
      <c r="M123" s="1104">
        <v>37792918</v>
      </c>
      <c r="N123" s="1103">
        <v>0</v>
      </c>
      <c r="O123" s="1103">
        <v>126927082</v>
      </c>
      <c r="P123" s="1104">
        <f t="shared" si="16"/>
        <v>164720000</v>
      </c>
      <c r="Q123" s="1105">
        <f t="shared" si="17"/>
        <v>1</v>
      </c>
    </row>
    <row r="124" spans="1:17" s="939" customFormat="1" ht="15" customHeight="1" hidden="1" outlineLevel="1" collapsed="1">
      <c r="A124" s="1020" t="s">
        <v>540</v>
      </c>
      <c r="B124" s="414"/>
      <c r="C124" s="564">
        <f>SUM(C125:C129)</f>
        <v>165595064</v>
      </c>
      <c r="D124" s="411"/>
      <c r="E124" s="411"/>
      <c r="F124" s="564">
        <f t="shared" si="18"/>
        <v>165595064</v>
      </c>
      <c r="G124" s="411"/>
      <c r="H124" s="564">
        <f t="shared" si="20"/>
        <v>165595064</v>
      </c>
      <c r="I124" s="564"/>
      <c r="J124" s="1111"/>
      <c r="K124" s="1097"/>
      <c r="L124" s="1098">
        <f t="shared" si="19"/>
        <v>165595064</v>
      </c>
      <c r="M124" s="1099">
        <f>SUM(M125:M129)</f>
        <v>62737008</v>
      </c>
      <c r="N124" s="1099">
        <f>SUM(N125:N129)</f>
        <v>62480000</v>
      </c>
      <c r="O124" s="1099">
        <f>SUM(O125:O129)</f>
        <v>40378056</v>
      </c>
      <c r="P124" s="1099">
        <f t="shared" si="16"/>
        <v>165595064</v>
      </c>
      <c r="Q124" s="1107">
        <f t="shared" si="17"/>
        <v>1</v>
      </c>
    </row>
    <row r="125" spans="1:17" s="939" customFormat="1" ht="14.25" customHeight="1" hidden="1" outlineLevel="2">
      <c r="A125" s="419" t="s">
        <v>579</v>
      </c>
      <c r="B125" s="414"/>
      <c r="C125" s="414">
        <v>48000000</v>
      </c>
      <c r="D125" s="411"/>
      <c r="E125" s="411"/>
      <c r="F125" s="564">
        <f t="shared" si="18"/>
        <v>48000000</v>
      </c>
      <c r="G125" s="411"/>
      <c r="H125" s="564">
        <f t="shared" si="20"/>
        <v>48000000</v>
      </c>
      <c r="I125" s="564"/>
      <c r="J125" s="1111"/>
      <c r="K125" s="1102"/>
      <c r="L125" s="1103">
        <f t="shared" si="19"/>
        <v>48000000</v>
      </c>
      <c r="M125" s="1104">
        <v>13001783</v>
      </c>
      <c r="N125" s="1103">
        <v>7000000</v>
      </c>
      <c r="O125" s="1103">
        <v>27998217</v>
      </c>
      <c r="P125" s="1104">
        <f t="shared" si="16"/>
        <v>48000000</v>
      </c>
      <c r="Q125" s="1105">
        <f t="shared" si="17"/>
        <v>1</v>
      </c>
    </row>
    <row r="126" spans="1:17" s="939" customFormat="1" ht="14.25" customHeight="1" hidden="1" outlineLevel="2">
      <c r="A126" s="419" t="s">
        <v>580</v>
      </c>
      <c r="B126" s="414"/>
      <c r="C126" s="414">
        <f>133595064-40000000</f>
        <v>93595064</v>
      </c>
      <c r="D126" s="411"/>
      <c r="E126" s="411"/>
      <c r="F126" s="564">
        <f t="shared" si="18"/>
        <v>93595064</v>
      </c>
      <c r="G126" s="411"/>
      <c r="H126" s="564">
        <f t="shared" si="20"/>
        <v>93595064</v>
      </c>
      <c r="I126" s="564"/>
      <c r="J126" s="1111"/>
      <c r="K126" s="1102"/>
      <c r="L126" s="1103">
        <f t="shared" si="19"/>
        <v>93595064</v>
      </c>
      <c r="M126" s="1104">
        <v>33795519</v>
      </c>
      <c r="N126" s="1103">
        <v>50000000</v>
      </c>
      <c r="O126" s="1103">
        <v>9799545</v>
      </c>
      <c r="P126" s="1104">
        <f t="shared" si="16"/>
        <v>93595064</v>
      </c>
      <c r="Q126" s="1105">
        <f t="shared" si="17"/>
        <v>1</v>
      </c>
    </row>
    <row r="127" spans="1:17" s="939" customFormat="1" ht="14.25" customHeight="1" hidden="1" outlineLevel="2">
      <c r="A127" s="419" t="s">
        <v>581</v>
      </c>
      <c r="B127" s="414"/>
      <c r="C127" s="414">
        <v>9000000</v>
      </c>
      <c r="D127" s="411"/>
      <c r="E127" s="411"/>
      <c r="F127" s="564">
        <f t="shared" si="18"/>
        <v>9000000</v>
      </c>
      <c r="G127" s="411"/>
      <c r="H127" s="564">
        <f t="shared" si="20"/>
        <v>9000000</v>
      </c>
      <c r="I127" s="564"/>
      <c r="J127" s="1111"/>
      <c r="K127" s="1102"/>
      <c r="L127" s="1103">
        <f t="shared" si="19"/>
        <v>9000000</v>
      </c>
      <c r="M127" s="1104">
        <v>5839706</v>
      </c>
      <c r="N127" s="1103">
        <v>3000000</v>
      </c>
      <c r="O127" s="1103">
        <v>160294</v>
      </c>
      <c r="P127" s="1104">
        <f t="shared" si="16"/>
        <v>9000000</v>
      </c>
      <c r="Q127" s="1105">
        <f t="shared" si="17"/>
        <v>1</v>
      </c>
    </row>
    <row r="128" spans="1:17" s="939" customFormat="1" ht="14.25" customHeight="1" hidden="1" outlineLevel="2">
      <c r="A128" s="419" t="s">
        <v>582</v>
      </c>
      <c r="B128" s="414"/>
      <c r="C128" s="414">
        <v>6000000</v>
      </c>
      <c r="D128" s="411"/>
      <c r="E128" s="411"/>
      <c r="F128" s="564">
        <f t="shared" si="18"/>
        <v>6000000</v>
      </c>
      <c r="G128" s="411"/>
      <c r="H128" s="564">
        <f t="shared" si="20"/>
        <v>6000000</v>
      </c>
      <c r="I128" s="564"/>
      <c r="J128" s="1111"/>
      <c r="K128" s="1102"/>
      <c r="L128" s="1103">
        <f t="shared" si="19"/>
        <v>6000000</v>
      </c>
      <c r="M128" s="1104">
        <v>3000000</v>
      </c>
      <c r="N128" s="1103">
        <v>580000</v>
      </c>
      <c r="O128" s="1103">
        <v>2420000</v>
      </c>
      <c r="P128" s="1104">
        <f t="shared" si="16"/>
        <v>6000000</v>
      </c>
      <c r="Q128" s="1105">
        <f t="shared" si="17"/>
        <v>1</v>
      </c>
    </row>
    <row r="129" spans="1:17" s="939" customFormat="1" ht="14.25" customHeight="1" hidden="1" outlineLevel="2">
      <c r="A129" s="419" t="s">
        <v>647</v>
      </c>
      <c r="B129" s="414"/>
      <c r="C129" s="414">
        <v>9000000</v>
      </c>
      <c r="D129" s="411"/>
      <c r="E129" s="411"/>
      <c r="F129" s="564">
        <f t="shared" si="18"/>
        <v>9000000</v>
      </c>
      <c r="G129" s="411"/>
      <c r="H129" s="564">
        <f t="shared" si="20"/>
        <v>9000000</v>
      </c>
      <c r="I129" s="564"/>
      <c r="J129" s="1111"/>
      <c r="K129" s="1102"/>
      <c r="L129" s="1103">
        <f t="shared" si="19"/>
        <v>9000000</v>
      </c>
      <c r="M129" s="1104">
        <v>7100000</v>
      </c>
      <c r="N129" s="1103">
        <v>1900000</v>
      </c>
      <c r="O129" s="1103">
        <v>0</v>
      </c>
      <c r="P129" s="1104">
        <f t="shared" si="16"/>
        <v>9000000</v>
      </c>
      <c r="Q129" s="1105">
        <f t="shared" si="17"/>
        <v>1</v>
      </c>
    </row>
    <row r="130" spans="1:17" s="939" customFormat="1" ht="15" customHeight="1" hidden="1" outlineLevel="1" collapsed="1">
      <c r="A130" s="1020" t="s">
        <v>541</v>
      </c>
      <c r="B130" s="414"/>
      <c r="C130" s="414">
        <f>+C131</f>
        <v>10000000</v>
      </c>
      <c r="D130" s="411"/>
      <c r="E130" s="411"/>
      <c r="F130" s="564">
        <f t="shared" si="18"/>
        <v>10000000</v>
      </c>
      <c r="G130" s="411"/>
      <c r="H130" s="564">
        <f t="shared" si="20"/>
        <v>10000000</v>
      </c>
      <c r="I130" s="564"/>
      <c r="J130" s="1111"/>
      <c r="K130" s="1102"/>
      <c r="L130" s="1098">
        <f t="shared" si="19"/>
        <v>10000000</v>
      </c>
      <c r="M130" s="1099">
        <f>+M131</f>
        <v>2312067</v>
      </c>
      <c r="N130" s="1099">
        <f>+N131</f>
        <v>5000000</v>
      </c>
      <c r="O130" s="1099">
        <f>+O131</f>
        <v>2687933</v>
      </c>
      <c r="P130" s="1099">
        <f t="shared" si="16"/>
        <v>10000000</v>
      </c>
      <c r="Q130" s="1107">
        <f t="shared" si="17"/>
        <v>1</v>
      </c>
    </row>
    <row r="131" spans="1:17" s="939" customFormat="1" ht="14.25" customHeight="1" hidden="1" outlineLevel="2">
      <c r="A131" s="419" t="s">
        <v>583</v>
      </c>
      <c r="B131" s="414"/>
      <c r="C131" s="414">
        <v>10000000</v>
      </c>
      <c r="D131" s="411"/>
      <c r="E131" s="411"/>
      <c r="F131" s="564">
        <f t="shared" si="18"/>
        <v>10000000</v>
      </c>
      <c r="G131" s="411"/>
      <c r="H131" s="564">
        <f t="shared" si="20"/>
        <v>10000000</v>
      </c>
      <c r="I131" s="564"/>
      <c r="J131" s="1111"/>
      <c r="K131" s="1102"/>
      <c r="L131" s="1103">
        <f t="shared" si="19"/>
        <v>10000000</v>
      </c>
      <c r="M131" s="1104">
        <v>2312067</v>
      </c>
      <c r="N131" s="1093">
        <v>5000000</v>
      </c>
      <c r="O131" s="1103">
        <v>2687933</v>
      </c>
      <c r="P131" s="1104">
        <f t="shared" si="16"/>
        <v>10000000</v>
      </c>
      <c r="Q131" s="1105">
        <f t="shared" si="17"/>
        <v>1</v>
      </c>
    </row>
    <row r="132" spans="1:17" s="939" customFormat="1" ht="15" customHeight="1" hidden="1" outlineLevel="1" collapsed="1">
      <c r="A132" s="1020"/>
      <c r="B132" s="414"/>
      <c r="C132" s="414"/>
      <c r="D132" s="411"/>
      <c r="E132" s="411"/>
      <c r="F132" s="414"/>
      <c r="G132" s="411"/>
      <c r="H132" s="412"/>
      <c r="I132" s="412"/>
      <c r="J132" s="1106"/>
      <c r="K132" s="1112"/>
      <c r="L132" s="1098"/>
      <c r="M132" s="1099"/>
      <c r="N132" s="1098">
        <v>0</v>
      </c>
      <c r="O132" s="1098">
        <v>0</v>
      </c>
      <c r="P132" s="1099"/>
      <c r="Q132" s="1105"/>
    </row>
    <row r="133" spans="1:17" s="939" customFormat="1" ht="15" collapsed="1">
      <c r="A133" s="417" t="s">
        <v>0</v>
      </c>
      <c r="B133" s="412"/>
      <c r="C133" s="412">
        <f>+C134+C135+C136+C137</f>
        <v>122000016</v>
      </c>
      <c r="D133" s="411"/>
      <c r="E133" s="411"/>
      <c r="F133" s="412">
        <f aca="true" t="shared" si="21" ref="F133:F140">+B133+C133+D133+E133</f>
        <v>122000016</v>
      </c>
      <c r="G133" s="411"/>
      <c r="H133" s="412">
        <f>+F133+G133</f>
        <v>122000016</v>
      </c>
      <c r="I133" s="412"/>
      <c r="J133" s="1106"/>
      <c r="K133" s="1097">
        <f>+K134+K135+K136+K137</f>
        <v>0</v>
      </c>
      <c r="L133" s="1098">
        <f aca="true" t="shared" si="22" ref="L133:L140">SUM(H133:K133)</f>
        <v>122000016</v>
      </c>
      <c r="M133" s="1099">
        <f>+M134+M135+M136</f>
        <v>46646354</v>
      </c>
      <c r="N133" s="1099">
        <f>+N134+N135+N136</f>
        <v>28031404</v>
      </c>
      <c r="O133" s="1099">
        <f>+O134+O135+O136</f>
        <v>47322258</v>
      </c>
      <c r="P133" s="1099">
        <f t="shared" si="16"/>
        <v>122000016</v>
      </c>
      <c r="Q133" s="1107">
        <f t="shared" si="17"/>
        <v>1</v>
      </c>
    </row>
    <row r="134" spans="1:17" s="939" customFormat="1" ht="15" customHeight="1" hidden="1" outlineLevel="1">
      <c r="A134" s="1020" t="s">
        <v>584</v>
      </c>
      <c r="B134" s="412"/>
      <c r="C134" s="414">
        <v>26000000</v>
      </c>
      <c r="D134" s="411"/>
      <c r="E134" s="411"/>
      <c r="F134" s="564">
        <f t="shared" si="21"/>
        <v>26000000</v>
      </c>
      <c r="G134" s="1022"/>
      <c r="H134" s="564">
        <f aca="true" t="shared" si="23" ref="H134:H140">+F134+G134</f>
        <v>26000000</v>
      </c>
      <c r="I134" s="564"/>
      <c r="J134" s="1111"/>
      <c r="K134" s="1102"/>
      <c r="L134" s="1103">
        <f t="shared" si="22"/>
        <v>26000000</v>
      </c>
      <c r="M134" s="1104">
        <v>5548466</v>
      </c>
      <c r="N134" s="1103">
        <v>1231400</v>
      </c>
      <c r="O134" s="1103">
        <v>19220134</v>
      </c>
      <c r="P134" s="1104">
        <f t="shared" si="16"/>
        <v>26000000</v>
      </c>
      <c r="Q134" s="1105">
        <f t="shared" si="17"/>
        <v>1</v>
      </c>
    </row>
    <row r="135" spans="1:17" s="939" customFormat="1" ht="15" customHeight="1" hidden="1" outlineLevel="1">
      <c r="A135" s="1020" t="s">
        <v>585</v>
      </c>
      <c r="B135" s="412"/>
      <c r="C135" s="414">
        <v>44000016</v>
      </c>
      <c r="D135" s="414"/>
      <c r="E135" s="411"/>
      <c r="F135" s="564">
        <f t="shared" si="21"/>
        <v>44000016</v>
      </c>
      <c r="G135" s="1022"/>
      <c r="H135" s="564">
        <f t="shared" si="23"/>
        <v>44000016</v>
      </c>
      <c r="I135" s="564"/>
      <c r="J135" s="1111"/>
      <c r="K135" s="1102"/>
      <c r="L135" s="1103">
        <f t="shared" si="22"/>
        <v>44000016</v>
      </c>
      <c r="M135" s="1104">
        <v>22821792</v>
      </c>
      <c r="N135" s="1103">
        <v>11600004</v>
      </c>
      <c r="O135" s="1103">
        <v>9578220</v>
      </c>
      <c r="P135" s="1104">
        <f t="shared" si="16"/>
        <v>44000016</v>
      </c>
      <c r="Q135" s="1105">
        <f t="shared" si="17"/>
        <v>1</v>
      </c>
    </row>
    <row r="136" spans="1:17" s="939" customFormat="1" ht="15" customHeight="1" hidden="1" outlineLevel="1">
      <c r="A136" s="1020" t="s">
        <v>586</v>
      </c>
      <c r="B136" s="412"/>
      <c r="C136" s="414">
        <v>52000000</v>
      </c>
      <c r="D136" s="414"/>
      <c r="E136" s="411"/>
      <c r="F136" s="564">
        <f t="shared" si="21"/>
        <v>52000000</v>
      </c>
      <c r="G136" s="1022"/>
      <c r="H136" s="564">
        <f t="shared" si="23"/>
        <v>52000000</v>
      </c>
      <c r="I136" s="564"/>
      <c r="J136" s="1111"/>
      <c r="K136" s="1102"/>
      <c r="L136" s="1103">
        <f t="shared" si="22"/>
        <v>52000000</v>
      </c>
      <c r="M136" s="1104">
        <v>18276096</v>
      </c>
      <c r="N136" s="1103">
        <v>15200000</v>
      </c>
      <c r="O136" s="1103">
        <v>18523904</v>
      </c>
      <c r="P136" s="1104">
        <f t="shared" si="16"/>
        <v>52000000</v>
      </c>
      <c r="Q136" s="1105">
        <f t="shared" si="17"/>
        <v>1</v>
      </c>
    </row>
    <row r="137" spans="1:17" s="939" customFormat="1" ht="15" customHeight="1" hidden="1" outlineLevel="1">
      <c r="A137" s="1020" t="s">
        <v>587</v>
      </c>
      <c r="B137" s="412"/>
      <c r="C137" s="414">
        <v>0</v>
      </c>
      <c r="D137" s="414"/>
      <c r="E137" s="411"/>
      <c r="F137" s="564">
        <f t="shared" si="21"/>
        <v>0</v>
      </c>
      <c r="G137" s="1022"/>
      <c r="H137" s="564">
        <f t="shared" si="23"/>
        <v>0</v>
      </c>
      <c r="I137" s="564"/>
      <c r="J137" s="1111"/>
      <c r="K137" s="1102"/>
      <c r="L137" s="1103"/>
      <c r="M137" s="1104"/>
      <c r="N137" s="1103">
        <v>0</v>
      </c>
      <c r="O137" s="1103">
        <v>0</v>
      </c>
      <c r="P137" s="1104">
        <f aca="true" t="shared" si="24" ref="P137:P179">+O137+N137+M137</f>
        <v>0</v>
      </c>
      <c r="Q137" s="1105">
        <v>0</v>
      </c>
    </row>
    <row r="138" spans="1:17" s="939" customFormat="1" ht="15" collapsed="1">
      <c r="A138" s="417" t="s">
        <v>410</v>
      </c>
      <c r="B138" s="564"/>
      <c r="C138" s="420">
        <f>+C139+C140</f>
        <v>234950000</v>
      </c>
      <c r="D138" s="421"/>
      <c r="E138" s="421"/>
      <c r="F138" s="420">
        <f t="shared" si="21"/>
        <v>234950000</v>
      </c>
      <c r="G138" s="421"/>
      <c r="H138" s="412">
        <f t="shared" si="23"/>
        <v>234950000</v>
      </c>
      <c r="I138" s="412"/>
      <c r="J138" s="412">
        <f>+J139+J140</f>
        <v>35000000</v>
      </c>
      <c r="K138" s="1097">
        <f>+K139+K140</f>
        <v>0</v>
      </c>
      <c r="L138" s="1098">
        <f t="shared" si="22"/>
        <v>269950000</v>
      </c>
      <c r="M138" s="1099">
        <f>+M139+M140</f>
        <v>32420896</v>
      </c>
      <c r="N138" s="1099">
        <f>+N139+N140</f>
        <v>43677334</v>
      </c>
      <c r="O138" s="1099">
        <f>+O139+O140</f>
        <v>75832272</v>
      </c>
      <c r="P138" s="1099">
        <f t="shared" si="24"/>
        <v>151930502</v>
      </c>
      <c r="Q138" s="1107">
        <f aca="true" t="shared" si="25" ref="Q138:Q179">+P138/L138</f>
        <v>0.5628097869975921</v>
      </c>
    </row>
    <row r="139" spans="1:17" s="939" customFormat="1" ht="15" customHeight="1" hidden="1" outlineLevel="1">
      <c r="A139" s="1020" t="s">
        <v>588</v>
      </c>
      <c r="B139" s="412"/>
      <c r="C139" s="564">
        <v>74950000</v>
      </c>
      <c r="D139" s="414"/>
      <c r="E139" s="411"/>
      <c r="F139" s="564">
        <f t="shared" si="21"/>
        <v>74950000</v>
      </c>
      <c r="G139" s="1022"/>
      <c r="H139" s="564">
        <f t="shared" si="23"/>
        <v>74950000</v>
      </c>
      <c r="I139" s="564"/>
      <c r="J139" s="1111">
        <v>35000000</v>
      </c>
      <c r="K139" s="1102"/>
      <c r="L139" s="1103">
        <f t="shared" si="22"/>
        <v>109950000</v>
      </c>
      <c r="M139" s="1104">
        <v>30218167</v>
      </c>
      <c r="N139" s="1103">
        <v>18712335</v>
      </c>
      <c r="O139" s="1103">
        <f>42000000-9000000</f>
        <v>33000000</v>
      </c>
      <c r="P139" s="1104">
        <f t="shared" si="24"/>
        <v>81930502</v>
      </c>
      <c r="Q139" s="1105">
        <f t="shared" si="25"/>
        <v>0.7451614552069122</v>
      </c>
    </row>
    <row r="140" spans="1:17" s="939" customFormat="1" ht="15" customHeight="1" hidden="1" outlineLevel="1">
      <c r="A140" s="1020" t="s">
        <v>589</v>
      </c>
      <c r="B140" s="412"/>
      <c r="C140" s="564">
        <v>160000000</v>
      </c>
      <c r="D140" s="414"/>
      <c r="E140" s="411"/>
      <c r="F140" s="564">
        <f t="shared" si="21"/>
        <v>160000000</v>
      </c>
      <c r="G140" s="1022"/>
      <c r="H140" s="564">
        <f t="shared" si="23"/>
        <v>160000000</v>
      </c>
      <c r="I140" s="564"/>
      <c r="J140" s="1111"/>
      <c r="K140" s="1102"/>
      <c r="L140" s="1103">
        <f t="shared" si="22"/>
        <v>160000000</v>
      </c>
      <c r="M140" s="1104">
        <v>2202729</v>
      </c>
      <c r="N140" s="1103">
        <v>24964999</v>
      </c>
      <c r="O140" s="1103">
        <f>45832272-3000000</f>
        <v>42832272</v>
      </c>
      <c r="P140" s="1104">
        <f t="shared" si="24"/>
        <v>70000000</v>
      </c>
      <c r="Q140" s="1105">
        <f t="shared" si="25"/>
        <v>0.4375</v>
      </c>
    </row>
    <row r="141" spans="1:17" s="939" customFormat="1" ht="19.5" customHeight="1" collapsed="1">
      <c r="A141" s="419"/>
      <c r="B141" s="412"/>
      <c r="C141" s="414"/>
      <c r="D141" s="411"/>
      <c r="E141" s="414"/>
      <c r="F141" s="412"/>
      <c r="G141" s="411"/>
      <c r="H141" s="412"/>
      <c r="I141" s="412"/>
      <c r="J141" s="1106"/>
      <c r="K141" s="1112"/>
      <c r="L141" s="1098"/>
      <c r="M141" s="1099"/>
      <c r="N141" s="1098"/>
      <c r="O141" s="1098"/>
      <c r="P141" s="1099"/>
      <c r="Q141" s="1105"/>
    </row>
    <row r="142" spans="1:17" ht="15">
      <c r="A142" s="407" t="s">
        <v>65</v>
      </c>
      <c r="B142" s="411"/>
      <c r="C142" s="412"/>
      <c r="D142" s="412">
        <f>+D143+D155+D160+D162+D148</f>
        <v>4751647842.119829</v>
      </c>
      <c r="E142" s="418"/>
      <c r="F142" s="420">
        <f aca="true" t="shared" si="26" ref="F142:F153">+D142+E142</f>
        <v>4751647842.119829</v>
      </c>
      <c r="G142" s="418"/>
      <c r="H142" s="412">
        <f>+F142+G142</f>
        <v>4751647842.119829</v>
      </c>
      <c r="I142" s="420"/>
      <c r="J142" s="1096"/>
      <c r="K142" s="1097">
        <f>+K143+K155+K160+K162+K148</f>
        <v>7942063</v>
      </c>
      <c r="L142" s="1098">
        <f aca="true" t="shared" si="27" ref="L142:L170">SUM(H142:K142)</f>
        <v>4759589905.119829</v>
      </c>
      <c r="M142" s="1099">
        <f>+M143+M148+M155+M160+M162</f>
        <v>2450654262.5</v>
      </c>
      <c r="N142" s="1099">
        <f>+N143+N148+N155+N160+N162</f>
        <v>844260550</v>
      </c>
      <c r="O142" s="1099">
        <f>+O143+O148+O155+O160+O162</f>
        <v>1219745545</v>
      </c>
      <c r="P142" s="1099">
        <f t="shared" si="24"/>
        <v>4514660357.5</v>
      </c>
      <c r="Q142" s="1107">
        <f t="shared" si="25"/>
        <v>0.9485397791611496</v>
      </c>
    </row>
    <row r="143" spans="1:17" s="939" customFormat="1" ht="15">
      <c r="A143" s="423" t="s">
        <v>217</v>
      </c>
      <c r="B143" s="418"/>
      <c r="C143" s="414"/>
      <c r="D143" s="420">
        <f>SUM(D144:D147)</f>
        <v>2997412660.5198298</v>
      </c>
      <c r="E143" s="411"/>
      <c r="F143" s="420">
        <f t="shared" si="26"/>
        <v>2997412660.5198298</v>
      </c>
      <c r="G143" s="411"/>
      <c r="H143" s="412">
        <f>+F143+G143</f>
        <v>2997412660.5198298</v>
      </c>
      <c r="I143" s="420"/>
      <c r="J143" s="1096"/>
      <c r="K143" s="1097">
        <f>SUM(K144:K147)</f>
        <v>-9547715</v>
      </c>
      <c r="L143" s="1098">
        <f t="shared" si="27"/>
        <v>2987864945.5198298</v>
      </c>
      <c r="M143" s="1099">
        <f>+M144+M145+M146+M147</f>
        <v>1654210598</v>
      </c>
      <c r="N143" s="1099">
        <f>+N144+N145+N146+N147</f>
        <v>468600000</v>
      </c>
      <c r="O143" s="1099">
        <f>+O144+O145+O146+O147</f>
        <v>720054347</v>
      </c>
      <c r="P143" s="1099">
        <f t="shared" si="24"/>
        <v>2842864945</v>
      </c>
      <c r="Q143" s="1107">
        <f t="shared" si="25"/>
        <v>0.95147036323136</v>
      </c>
    </row>
    <row r="144" spans="1:17" s="939" customFormat="1" ht="15" customHeight="1" hidden="1" outlineLevel="1">
      <c r="A144" s="419" t="s">
        <v>461</v>
      </c>
      <c r="B144" s="418"/>
      <c r="C144" s="414"/>
      <c r="D144" s="564">
        <f>2025505399.11983-51235837-15000000</f>
        <v>1959269562.11983</v>
      </c>
      <c r="E144" s="411"/>
      <c r="F144" s="564">
        <f t="shared" si="26"/>
        <v>1959269562.11983</v>
      </c>
      <c r="G144" s="411"/>
      <c r="H144" s="564">
        <f>+F144+G144+7942063</f>
        <v>1967211625.11983</v>
      </c>
      <c r="I144" s="564"/>
      <c r="J144" s="1111"/>
      <c r="K144" s="1102"/>
      <c r="L144" s="1103">
        <f t="shared" si="27"/>
        <v>1967211625.11983</v>
      </c>
      <c r="M144" s="1104">
        <v>1131914205</v>
      </c>
      <c r="N144" s="1103">
        <v>190000000</v>
      </c>
      <c r="O144" s="1103">
        <v>500297420</v>
      </c>
      <c r="P144" s="1104">
        <f t="shared" si="24"/>
        <v>1822211625</v>
      </c>
      <c r="Q144" s="1105">
        <f t="shared" si="25"/>
        <v>0.926291610791494</v>
      </c>
    </row>
    <row r="145" spans="1:17" s="939" customFormat="1" ht="15" customHeight="1" hidden="1" outlineLevel="1">
      <c r="A145" s="419" t="s">
        <v>213</v>
      </c>
      <c r="B145" s="418"/>
      <c r="C145" s="414"/>
      <c r="D145" s="564">
        <v>80670000</v>
      </c>
      <c r="E145" s="411"/>
      <c r="F145" s="564">
        <f t="shared" si="26"/>
        <v>80670000</v>
      </c>
      <c r="G145" s="411"/>
      <c r="H145" s="564">
        <f aca="true" t="shared" si="28" ref="H145:H150">+F145+G145</f>
        <v>80670000</v>
      </c>
      <c r="I145" s="564"/>
      <c r="J145" s="1111"/>
      <c r="K145" s="1102"/>
      <c r="L145" s="1103">
        <f t="shared" si="27"/>
        <v>80670000</v>
      </c>
      <c r="M145" s="1104">
        <v>57313073</v>
      </c>
      <c r="N145" s="1103">
        <v>13600000</v>
      </c>
      <c r="O145" s="1103">
        <v>9756927</v>
      </c>
      <c r="P145" s="1104">
        <f t="shared" si="24"/>
        <v>80670000</v>
      </c>
      <c r="Q145" s="1105">
        <f t="shared" si="25"/>
        <v>1</v>
      </c>
    </row>
    <row r="146" spans="1:17" s="939" customFormat="1" ht="15" customHeight="1" hidden="1" outlineLevel="1">
      <c r="A146" s="419" t="s">
        <v>215</v>
      </c>
      <c r="B146" s="418"/>
      <c r="C146" s="414"/>
      <c r="D146" s="564">
        <v>724614836.4</v>
      </c>
      <c r="E146" s="411"/>
      <c r="F146" s="564">
        <f t="shared" si="26"/>
        <v>724614836.4</v>
      </c>
      <c r="G146" s="411"/>
      <c r="H146" s="564">
        <f>+F146+G146-21094506-7942063</f>
        <v>695578267.4</v>
      </c>
      <c r="I146" s="564"/>
      <c r="J146" s="1111"/>
      <c r="K146" s="1102">
        <v>-9547715</v>
      </c>
      <c r="L146" s="1103">
        <f t="shared" si="27"/>
        <v>686030552.4</v>
      </c>
      <c r="M146" s="1104">
        <v>326030552</v>
      </c>
      <c r="N146" s="1103">
        <v>180000000</v>
      </c>
      <c r="O146" s="1103">
        <v>180000000</v>
      </c>
      <c r="P146" s="1104">
        <f t="shared" si="24"/>
        <v>686030552</v>
      </c>
      <c r="Q146" s="1105">
        <f t="shared" si="25"/>
        <v>0.9999999994169356</v>
      </c>
    </row>
    <row r="147" spans="1:17" s="939" customFormat="1" ht="15" customHeight="1" hidden="1" outlineLevel="1">
      <c r="A147" s="419" t="s">
        <v>460</v>
      </c>
      <c r="B147" s="418"/>
      <c r="C147" s="414"/>
      <c r="D147" s="564">
        <f>166622425+51235837+15000000</f>
        <v>232858262</v>
      </c>
      <c r="E147" s="411"/>
      <c r="F147" s="564">
        <f t="shared" si="26"/>
        <v>232858262</v>
      </c>
      <c r="G147" s="411"/>
      <c r="H147" s="564">
        <f>+F147+G147+21094506</f>
        <v>253952768</v>
      </c>
      <c r="I147" s="564"/>
      <c r="J147" s="1111"/>
      <c r="K147" s="1102"/>
      <c r="L147" s="1103">
        <f t="shared" si="27"/>
        <v>253952768</v>
      </c>
      <c r="M147" s="1104">
        <v>138952768</v>
      </c>
      <c r="N147" s="1103">
        <v>85000000</v>
      </c>
      <c r="O147" s="1103">
        <v>30000000</v>
      </c>
      <c r="P147" s="1104">
        <f t="shared" si="24"/>
        <v>253952768</v>
      </c>
      <c r="Q147" s="1105">
        <f t="shared" si="25"/>
        <v>1</v>
      </c>
    </row>
    <row r="148" spans="1:17" s="939" customFormat="1" ht="15" collapsed="1">
      <c r="A148" s="423" t="s">
        <v>15</v>
      </c>
      <c r="B148" s="418"/>
      <c r="C148" s="414"/>
      <c r="D148" s="420">
        <f>+D149+D152</f>
        <v>89000000</v>
      </c>
      <c r="E148" s="411"/>
      <c r="F148" s="420">
        <f t="shared" si="26"/>
        <v>89000000</v>
      </c>
      <c r="G148" s="411"/>
      <c r="H148" s="412">
        <f t="shared" si="28"/>
        <v>89000000</v>
      </c>
      <c r="I148" s="420"/>
      <c r="J148" s="1096"/>
      <c r="K148" s="1097"/>
      <c r="L148" s="1098">
        <f t="shared" si="27"/>
        <v>89000000</v>
      </c>
      <c r="M148" s="1099">
        <f>+M149+M152</f>
        <v>33309630</v>
      </c>
      <c r="N148" s="1099">
        <f>+N149+N152</f>
        <v>33000000</v>
      </c>
      <c r="O148" s="1099">
        <f>+O149+O152</f>
        <v>22690370</v>
      </c>
      <c r="P148" s="1099">
        <f t="shared" si="24"/>
        <v>89000000</v>
      </c>
      <c r="Q148" s="1107">
        <f t="shared" si="25"/>
        <v>1</v>
      </c>
    </row>
    <row r="149" spans="1:17" s="939" customFormat="1" ht="15" customHeight="1" hidden="1" outlineLevel="1">
      <c r="A149" s="423" t="s">
        <v>221</v>
      </c>
      <c r="B149" s="418"/>
      <c r="C149" s="414"/>
      <c r="D149" s="420">
        <f>+D151+D150</f>
        <v>43271555</v>
      </c>
      <c r="E149" s="411"/>
      <c r="F149" s="420">
        <f>+F150+F151</f>
        <v>43271555</v>
      </c>
      <c r="G149" s="411"/>
      <c r="H149" s="412">
        <f>+H150+H151</f>
        <v>43271555</v>
      </c>
      <c r="I149" s="420"/>
      <c r="J149" s="1096"/>
      <c r="K149" s="1097"/>
      <c r="L149" s="1098">
        <f t="shared" si="27"/>
        <v>43271555</v>
      </c>
      <c r="M149" s="1099">
        <f>+M150+M151</f>
        <v>15271555</v>
      </c>
      <c r="N149" s="1099">
        <f>+N150+N151</f>
        <v>13000000</v>
      </c>
      <c r="O149" s="1099">
        <f>+O150+O151</f>
        <v>15000000</v>
      </c>
      <c r="P149" s="1099">
        <f t="shared" si="24"/>
        <v>43271555</v>
      </c>
      <c r="Q149" s="1107">
        <f t="shared" si="25"/>
        <v>1</v>
      </c>
    </row>
    <row r="150" spans="1:17" s="939" customFormat="1" ht="15" customHeight="1" hidden="1" outlineLevel="2">
      <c r="A150" s="419" t="s">
        <v>407</v>
      </c>
      <c r="B150" s="418"/>
      <c r="C150" s="414"/>
      <c r="D150" s="564">
        <v>5200000</v>
      </c>
      <c r="E150" s="411"/>
      <c r="F150" s="564">
        <f t="shared" si="26"/>
        <v>5200000</v>
      </c>
      <c r="G150" s="411"/>
      <c r="H150" s="564">
        <f t="shared" si="28"/>
        <v>5200000</v>
      </c>
      <c r="I150" s="564"/>
      <c r="J150" s="1111"/>
      <c r="K150" s="1102"/>
      <c r="L150" s="1103">
        <f t="shared" si="27"/>
        <v>5200000</v>
      </c>
      <c r="M150" s="1104">
        <v>5000000</v>
      </c>
      <c r="N150" s="1103">
        <v>200000</v>
      </c>
      <c r="O150" s="1103">
        <v>0</v>
      </c>
      <c r="P150" s="1104">
        <f t="shared" si="24"/>
        <v>5200000</v>
      </c>
      <c r="Q150" s="1105">
        <f t="shared" si="25"/>
        <v>1</v>
      </c>
    </row>
    <row r="151" spans="1:17" s="939" customFormat="1" ht="15" customHeight="1" hidden="1" outlineLevel="2">
      <c r="A151" s="419" t="s">
        <v>408</v>
      </c>
      <c r="B151" s="418"/>
      <c r="C151" s="414"/>
      <c r="D151" s="564">
        <v>38071555</v>
      </c>
      <c r="E151" s="411"/>
      <c r="F151" s="564">
        <f t="shared" si="26"/>
        <v>38071555</v>
      </c>
      <c r="G151" s="411"/>
      <c r="H151" s="564">
        <v>38071555</v>
      </c>
      <c r="I151" s="564"/>
      <c r="J151" s="1111"/>
      <c r="K151" s="1102"/>
      <c r="L151" s="1103">
        <f t="shared" si="27"/>
        <v>38071555</v>
      </c>
      <c r="M151" s="1104">
        <v>10271555</v>
      </c>
      <c r="N151" s="1103">
        <v>12800000</v>
      </c>
      <c r="O151" s="1103">
        <v>15000000</v>
      </c>
      <c r="P151" s="1104">
        <f t="shared" si="24"/>
        <v>38071555</v>
      </c>
      <c r="Q151" s="1105">
        <f t="shared" si="25"/>
        <v>1</v>
      </c>
    </row>
    <row r="152" spans="1:17" s="939" customFormat="1" ht="15" customHeight="1" hidden="1" outlineLevel="1" collapsed="1">
      <c r="A152" s="423" t="s">
        <v>220</v>
      </c>
      <c r="B152" s="418"/>
      <c r="C152" s="414"/>
      <c r="D152" s="420">
        <f>+D153</f>
        <v>45728445</v>
      </c>
      <c r="E152" s="411"/>
      <c r="F152" s="420">
        <f>+F153</f>
        <v>45728445</v>
      </c>
      <c r="G152" s="411"/>
      <c r="H152" s="412">
        <f>+H153</f>
        <v>45728445</v>
      </c>
      <c r="I152" s="420"/>
      <c r="J152" s="1096"/>
      <c r="K152" s="1097"/>
      <c r="L152" s="1098">
        <f t="shared" si="27"/>
        <v>45728445</v>
      </c>
      <c r="M152" s="1099">
        <f>+M153</f>
        <v>18038075</v>
      </c>
      <c r="N152" s="1099">
        <f>+N153</f>
        <v>20000000</v>
      </c>
      <c r="O152" s="1099">
        <f>+O153</f>
        <v>7690370</v>
      </c>
      <c r="P152" s="1099">
        <f t="shared" si="24"/>
        <v>45728445</v>
      </c>
      <c r="Q152" s="1107">
        <f t="shared" si="25"/>
        <v>1</v>
      </c>
    </row>
    <row r="153" spans="1:17" s="939" customFormat="1" ht="15" customHeight="1" hidden="1" outlineLevel="2">
      <c r="A153" s="419" t="s">
        <v>212</v>
      </c>
      <c r="B153" s="418"/>
      <c r="C153" s="414"/>
      <c r="D153" s="564">
        <v>45728445</v>
      </c>
      <c r="E153" s="411"/>
      <c r="F153" s="564">
        <f t="shared" si="26"/>
        <v>45728445</v>
      </c>
      <c r="G153" s="411"/>
      <c r="H153" s="564">
        <f>+F153</f>
        <v>45728445</v>
      </c>
      <c r="I153" s="564"/>
      <c r="J153" s="1111"/>
      <c r="K153" s="1102"/>
      <c r="L153" s="1103">
        <f t="shared" si="27"/>
        <v>45728445</v>
      </c>
      <c r="M153" s="1104">
        <v>18038075</v>
      </c>
      <c r="N153" s="1103">
        <v>20000000</v>
      </c>
      <c r="O153" s="1103">
        <v>7690370</v>
      </c>
      <c r="P153" s="1104">
        <f t="shared" si="24"/>
        <v>45728445</v>
      </c>
      <c r="Q153" s="1105">
        <f t="shared" si="25"/>
        <v>1</v>
      </c>
    </row>
    <row r="154" spans="1:17" s="939" customFormat="1" ht="15" customHeight="1" hidden="1" outlineLevel="1" collapsed="1">
      <c r="A154" s="419"/>
      <c r="B154" s="418"/>
      <c r="C154" s="414"/>
      <c r="D154" s="564"/>
      <c r="E154" s="411"/>
      <c r="F154" s="564"/>
      <c r="G154" s="411"/>
      <c r="H154" s="420"/>
      <c r="I154" s="564"/>
      <c r="J154" s="1111"/>
      <c r="K154" s="1102"/>
      <c r="L154" s="1103"/>
      <c r="M154" s="1104"/>
      <c r="N154" s="1103"/>
      <c r="O154" s="1103"/>
      <c r="P154" s="1104"/>
      <c r="Q154" s="1105"/>
    </row>
    <row r="155" spans="1:17" s="939" customFormat="1" ht="15" collapsed="1">
      <c r="A155" s="423" t="s">
        <v>216</v>
      </c>
      <c r="B155" s="418"/>
      <c r="C155" s="414"/>
      <c r="D155" s="420">
        <f>+D156+D157+D158+D159</f>
        <v>120000000</v>
      </c>
      <c r="E155" s="414"/>
      <c r="F155" s="420">
        <f aca="true" t="shared" si="29" ref="F155:F170">+D155+E155</f>
        <v>120000000</v>
      </c>
      <c r="G155" s="411"/>
      <c r="H155" s="412">
        <f>+F155+G155</f>
        <v>120000000</v>
      </c>
      <c r="I155" s="420"/>
      <c r="J155" s="1096"/>
      <c r="K155" s="1097">
        <f>+K156+K157+K158+K159</f>
        <v>0</v>
      </c>
      <c r="L155" s="1098">
        <f t="shared" si="27"/>
        <v>120000000</v>
      </c>
      <c r="M155" s="1099">
        <f>+M156+M157+M158+M159</f>
        <v>67763108</v>
      </c>
      <c r="N155" s="1099">
        <f>+N156+N157+N158+N159</f>
        <v>30000000</v>
      </c>
      <c r="O155" s="1099">
        <f>+O156+O157+O158+O159</f>
        <v>392192</v>
      </c>
      <c r="P155" s="1099">
        <f t="shared" si="24"/>
        <v>98155300</v>
      </c>
      <c r="Q155" s="1107">
        <f t="shared" si="25"/>
        <v>0.8179608333333334</v>
      </c>
    </row>
    <row r="156" spans="1:17" s="939" customFormat="1" ht="15" customHeight="1" hidden="1" outlineLevel="1">
      <c r="A156" s="560" t="s">
        <v>249</v>
      </c>
      <c r="B156" s="418"/>
      <c r="C156" s="414"/>
      <c r="D156" s="564">
        <v>70000000</v>
      </c>
      <c r="E156" s="411"/>
      <c r="F156" s="564">
        <f t="shared" si="29"/>
        <v>70000000</v>
      </c>
      <c r="G156" s="1022"/>
      <c r="H156" s="564">
        <f aca="true" t="shared" si="30" ref="H156:H170">+F156+G156</f>
        <v>70000000</v>
      </c>
      <c r="I156" s="564"/>
      <c r="J156" s="1111"/>
      <c r="K156" s="1102"/>
      <c r="L156" s="1103">
        <f t="shared" si="27"/>
        <v>70000000</v>
      </c>
      <c r="M156" s="1104">
        <v>39607808</v>
      </c>
      <c r="N156" s="1103">
        <v>30000000</v>
      </c>
      <c r="O156" s="1103">
        <v>392192</v>
      </c>
      <c r="P156" s="1104">
        <f t="shared" si="24"/>
        <v>70000000</v>
      </c>
      <c r="Q156" s="1105">
        <f t="shared" si="25"/>
        <v>1</v>
      </c>
    </row>
    <row r="157" spans="1:17" s="939" customFormat="1" ht="15" customHeight="1" hidden="1" outlineLevel="1">
      <c r="A157" s="560" t="s">
        <v>378</v>
      </c>
      <c r="B157" s="418"/>
      <c r="C157" s="414"/>
      <c r="D157" s="564">
        <v>25000000</v>
      </c>
      <c r="E157" s="411"/>
      <c r="F157" s="564">
        <f t="shared" si="29"/>
        <v>25000000</v>
      </c>
      <c r="G157" s="1022"/>
      <c r="H157" s="564">
        <f t="shared" si="30"/>
        <v>25000000</v>
      </c>
      <c r="I157" s="564"/>
      <c r="J157" s="1111"/>
      <c r="K157" s="1102"/>
      <c r="L157" s="1103">
        <f t="shared" si="27"/>
        <v>25000000</v>
      </c>
      <c r="M157" s="1104">
        <v>15000000</v>
      </c>
      <c r="N157" s="1103">
        <v>0</v>
      </c>
      <c r="O157" s="1103">
        <v>0</v>
      </c>
      <c r="P157" s="1104">
        <f t="shared" si="24"/>
        <v>15000000</v>
      </c>
      <c r="Q157" s="1105">
        <f t="shared" si="25"/>
        <v>0.6</v>
      </c>
    </row>
    <row r="158" spans="1:17" s="939" customFormat="1" ht="15" customHeight="1" hidden="1" outlineLevel="1">
      <c r="A158" s="560" t="s">
        <v>379</v>
      </c>
      <c r="B158" s="418"/>
      <c r="C158" s="414"/>
      <c r="D158" s="1114">
        <v>25000000</v>
      </c>
      <c r="E158" s="411"/>
      <c r="F158" s="564">
        <f t="shared" si="29"/>
        <v>25000000</v>
      </c>
      <c r="G158" s="1022"/>
      <c r="H158" s="564">
        <f t="shared" si="30"/>
        <v>25000000</v>
      </c>
      <c r="I158" s="564"/>
      <c r="J158" s="1111"/>
      <c r="K158" s="1102"/>
      <c r="L158" s="1103">
        <f t="shared" si="27"/>
        <v>25000000</v>
      </c>
      <c r="M158" s="1104">
        <v>13155300</v>
      </c>
      <c r="N158" s="1103">
        <v>0</v>
      </c>
      <c r="O158" s="1103">
        <v>0</v>
      </c>
      <c r="P158" s="1104">
        <f t="shared" si="24"/>
        <v>13155300</v>
      </c>
      <c r="Q158" s="1105">
        <f t="shared" si="25"/>
        <v>0.526212</v>
      </c>
    </row>
    <row r="159" spans="1:17" s="939" customFormat="1" ht="15" customHeight="1" hidden="1" outlineLevel="1">
      <c r="A159" s="560" t="s">
        <v>603</v>
      </c>
      <c r="B159" s="418"/>
      <c r="C159" s="414"/>
      <c r="D159" s="564">
        <v>0</v>
      </c>
      <c r="E159" s="411"/>
      <c r="F159" s="564">
        <f t="shared" si="29"/>
        <v>0</v>
      </c>
      <c r="G159" s="1022"/>
      <c r="H159" s="564">
        <f t="shared" si="30"/>
        <v>0</v>
      </c>
      <c r="I159" s="564"/>
      <c r="J159" s="1111"/>
      <c r="K159" s="1102"/>
      <c r="L159" s="1103">
        <f t="shared" si="27"/>
        <v>0</v>
      </c>
      <c r="M159" s="1104">
        <v>0</v>
      </c>
      <c r="N159" s="1103">
        <v>0</v>
      </c>
      <c r="O159" s="1103">
        <v>0</v>
      </c>
      <c r="P159" s="1104">
        <f t="shared" si="24"/>
        <v>0</v>
      </c>
      <c r="Q159" s="1105">
        <v>0</v>
      </c>
    </row>
    <row r="160" spans="1:17" ht="15" collapsed="1">
      <c r="A160" s="423" t="s">
        <v>8</v>
      </c>
      <c r="B160" s="411"/>
      <c r="C160" s="414"/>
      <c r="D160" s="420">
        <f>+D161</f>
        <v>141706032</v>
      </c>
      <c r="E160" s="411"/>
      <c r="F160" s="420">
        <f t="shared" si="29"/>
        <v>141706032</v>
      </c>
      <c r="G160" s="418"/>
      <c r="H160" s="412">
        <f t="shared" si="30"/>
        <v>141706032</v>
      </c>
      <c r="I160" s="420"/>
      <c r="J160" s="1096"/>
      <c r="K160" s="1097">
        <f>+K161</f>
        <v>17489778</v>
      </c>
      <c r="L160" s="1098">
        <f t="shared" si="27"/>
        <v>159195810</v>
      </c>
      <c r="M160" s="1099">
        <f>+M161</f>
        <v>87151762</v>
      </c>
      <c r="N160" s="1099">
        <f>+N161</f>
        <v>30000000</v>
      </c>
      <c r="O160" s="1099">
        <f>+O161</f>
        <v>41459764</v>
      </c>
      <c r="P160" s="1099">
        <f t="shared" si="24"/>
        <v>158611526</v>
      </c>
      <c r="Q160" s="1107">
        <f t="shared" si="25"/>
        <v>0.9963297777749301</v>
      </c>
    </row>
    <row r="161" spans="1:17" ht="15" customHeight="1" hidden="1" outlineLevel="1">
      <c r="A161" s="419" t="s">
        <v>218</v>
      </c>
      <c r="B161" s="411"/>
      <c r="C161" s="414"/>
      <c r="D161" s="564">
        <v>141706032</v>
      </c>
      <c r="E161" s="411"/>
      <c r="F161" s="564">
        <f t="shared" si="29"/>
        <v>141706032</v>
      </c>
      <c r="G161" s="418"/>
      <c r="H161" s="564">
        <f t="shared" si="30"/>
        <v>141706032</v>
      </c>
      <c r="I161" s="564"/>
      <c r="J161" s="1111"/>
      <c r="K161" s="1102">
        <v>17489778</v>
      </c>
      <c r="L161" s="1103">
        <f t="shared" si="27"/>
        <v>159195810</v>
      </c>
      <c r="M161" s="1104">
        <v>87151762</v>
      </c>
      <c r="N161" s="1103">
        <v>30000000</v>
      </c>
      <c r="O161" s="1103">
        <v>41459764</v>
      </c>
      <c r="P161" s="1104">
        <f t="shared" si="24"/>
        <v>158611526</v>
      </c>
      <c r="Q161" s="1105">
        <f t="shared" si="25"/>
        <v>0.9963297777749301</v>
      </c>
    </row>
    <row r="162" spans="1:17" ht="15.75" customHeight="1" collapsed="1">
      <c r="A162" s="423" t="s">
        <v>409</v>
      </c>
      <c r="B162" s="411"/>
      <c r="C162" s="414"/>
      <c r="D162" s="420">
        <f>+D163+D166+D167+D168+D170+D169</f>
        <v>1403529149.6</v>
      </c>
      <c r="E162" s="411"/>
      <c r="F162" s="420">
        <f t="shared" si="29"/>
        <v>1403529149.6</v>
      </c>
      <c r="G162" s="421"/>
      <c r="H162" s="412">
        <f t="shared" si="30"/>
        <v>1403529149.6</v>
      </c>
      <c r="I162" s="420"/>
      <c r="J162" s="1096"/>
      <c r="K162" s="1097">
        <f>+K163+K166+K167+K168+K170+K169</f>
        <v>0</v>
      </c>
      <c r="L162" s="1098">
        <f t="shared" si="27"/>
        <v>1403529149.6</v>
      </c>
      <c r="M162" s="1099">
        <f>+M163+M166+M167+M168+M169+M170</f>
        <v>608219164.5</v>
      </c>
      <c r="N162" s="1099">
        <f>+N163+N166+N167+N168+N169+N170</f>
        <v>282660550</v>
      </c>
      <c r="O162" s="1099">
        <f>+O163+O166+O167+O168+O169+O170</f>
        <v>435148872</v>
      </c>
      <c r="P162" s="1099">
        <f t="shared" si="24"/>
        <v>1326028586.5</v>
      </c>
      <c r="Q162" s="1107">
        <f t="shared" si="25"/>
        <v>0.9447816505114359</v>
      </c>
    </row>
    <row r="163" spans="1:17" ht="15.75" customHeight="1" hidden="1" outlineLevel="1">
      <c r="A163" s="1020" t="s">
        <v>531</v>
      </c>
      <c r="B163" s="411"/>
      <c r="C163" s="414"/>
      <c r="D163" s="564">
        <f>+D164+D165</f>
        <v>1259053239.6</v>
      </c>
      <c r="E163" s="411"/>
      <c r="F163" s="564">
        <f t="shared" si="29"/>
        <v>1259053239.6</v>
      </c>
      <c r="G163" s="418"/>
      <c r="H163" s="564">
        <f t="shared" si="30"/>
        <v>1259053239.6</v>
      </c>
      <c r="I163" s="564"/>
      <c r="J163" s="1111"/>
      <c r="K163" s="1102"/>
      <c r="L163" s="1103">
        <f t="shared" si="27"/>
        <v>1259053239.6</v>
      </c>
      <c r="M163" s="1104">
        <f>+M164+M165</f>
        <v>568118515</v>
      </c>
      <c r="N163" s="1104">
        <f>+N164+N165</f>
        <v>232260550</v>
      </c>
      <c r="O163" s="1104">
        <f>+O164+O165</f>
        <v>385000000</v>
      </c>
      <c r="P163" s="1104">
        <f t="shared" si="24"/>
        <v>1185379065</v>
      </c>
      <c r="Q163" s="1105">
        <f t="shared" si="25"/>
        <v>0.9414844644509186</v>
      </c>
    </row>
    <row r="164" spans="1:17" ht="15.75" customHeight="1" hidden="1" outlineLevel="2">
      <c r="A164" s="419" t="s">
        <v>529</v>
      </c>
      <c r="B164" s="411"/>
      <c r="C164" s="414"/>
      <c r="D164" s="564">
        <v>345903600</v>
      </c>
      <c r="E164" s="411"/>
      <c r="F164" s="564">
        <f t="shared" si="29"/>
        <v>345903600</v>
      </c>
      <c r="G164" s="418"/>
      <c r="H164" s="564">
        <f t="shared" si="30"/>
        <v>345903600</v>
      </c>
      <c r="I164" s="564"/>
      <c r="J164" s="1111"/>
      <c r="K164" s="1102"/>
      <c r="L164" s="1103">
        <f t="shared" si="27"/>
        <v>345903600</v>
      </c>
      <c r="M164" s="1104">
        <v>345903600</v>
      </c>
      <c r="N164" s="1103">
        <v>0</v>
      </c>
      <c r="O164" s="1103">
        <f>'[14]Ejecución gastos 2010'!O164</f>
        <v>0</v>
      </c>
      <c r="P164" s="1104">
        <f t="shared" si="24"/>
        <v>345903600</v>
      </c>
      <c r="Q164" s="1105">
        <f t="shared" si="25"/>
        <v>1</v>
      </c>
    </row>
    <row r="165" spans="1:17" ht="15.75" customHeight="1" hidden="1" outlineLevel="2">
      <c r="A165" s="419" t="s">
        <v>177</v>
      </c>
      <c r="B165" s="411"/>
      <c r="C165" s="414"/>
      <c r="D165" s="564">
        <v>913149639.5999999</v>
      </c>
      <c r="E165" s="414"/>
      <c r="F165" s="564">
        <f t="shared" si="29"/>
        <v>913149639.5999999</v>
      </c>
      <c r="G165" s="418"/>
      <c r="H165" s="564">
        <f t="shared" si="30"/>
        <v>913149639.5999999</v>
      </c>
      <c r="I165" s="564"/>
      <c r="J165" s="1111"/>
      <c r="K165" s="1102"/>
      <c r="L165" s="1103">
        <f t="shared" si="27"/>
        <v>913149639.5999999</v>
      </c>
      <c r="M165" s="1104">
        <v>222214915</v>
      </c>
      <c r="N165" s="1103">
        <v>232260550</v>
      </c>
      <c r="O165" s="1103">
        <v>385000000</v>
      </c>
      <c r="P165" s="1104">
        <f t="shared" si="24"/>
        <v>839475465</v>
      </c>
      <c r="Q165" s="1105">
        <f t="shared" si="25"/>
        <v>0.9193186183238571</v>
      </c>
    </row>
    <row r="166" spans="1:17" ht="15" customHeight="1" hidden="1" outlineLevel="1" collapsed="1">
      <c r="A166" s="1020" t="s">
        <v>387</v>
      </c>
      <c r="B166" s="411"/>
      <c r="C166" s="414"/>
      <c r="D166" s="564">
        <v>12000000</v>
      </c>
      <c r="E166" s="411"/>
      <c r="F166" s="564">
        <f t="shared" si="29"/>
        <v>12000000</v>
      </c>
      <c r="G166" s="418"/>
      <c r="H166" s="564">
        <f t="shared" si="30"/>
        <v>12000000</v>
      </c>
      <c r="I166" s="564"/>
      <c r="J166" s="1111"/>
      <c r="K166" s="1102"/>
      <c r="L166" s="1103">
        <f t="shared" si="27"/>
        <v>12000000</v>
      </c>
      <c r="M166" s="1104">
        <v>5222850</v>
      </c>
      <c r="N166" s="1103">
        <v>4000000</v>
      </c>
      <c r="O166" s="1103">
        <v>2777150</v>
      </c>
      <c r="P166" s="1104">
        <f t="shared" si="24"/>
        <v>12000000</v>
      </c>
      <c r="Q166" s="1105">
        <f t="shared" si="25"/>
        <v>1</v>
      </c>
    </row>
    <row r="167" spans="1:17" ht="15" customHeight="1" hidden="1" outlineLevel="1">
      <c r="A167" s="1020" t="s">
        <v>530</v>
      </c>
      <c r="B167" s="411"/>
      <c r="C167" s="414"/>
      <c r="D167" s="564">
        <v>12000000</v>
      </c>
      <c r="E167" s="411"/>
      <c r="F167" s="564">
        <f t="shared" si="29"/>
        <v>12000000</v>
      </c>
      <c r="G167" s="418"/>
      <c r="H167" s="564">
        <f t="shared" si="30"/>
        <v>12000000</v>
      </c>
      <c r="I167" s="564"/>
      <c r="J167" s="1111"/>
      <c r="K167" s="1102"/>
      <c r="L167" s="1103">
        <f t="shared" si="27"/>
        <v>12000000</v>
      </c>
      <c r="M167" s="1104">
        <v>3582587.5</v>
      </c>
      <c r="N167" s="1103">
        <v>4000000</v>
      </c>
      <c r="O167" s="1103">
        <v>4417412</v>
      </c>
      <c r="P167" s="1104">
        <f t="shared" si="24"/>
        <v>11999999.5</v>
      </c>
      <c r="Q167" s="1105">
        <f t="shared" si="25"/>
        <v>0.9999999583333333</v>
      </c>
    </row>
    <row r="168" spans="1:17" ht="14.25" customHeight="1" hidden="1" outlineLevel="1">
      <c r="A168" s="1020" t="s">
        <v>431</v>
      </c>
      <c r="B168" s="411"/>
      <c r="C168" s="414"/>
      <c r="D168" s="564">
        <v>112275910</v>
      </c>
      <c r="E168" s="411"/>
      <c r="F168" s="564">
        <f t="shared" si="29"/>
        <v>112275910</v>
      </c>
      <c r="G168" s="411"/>
      <c r="H168" s="564">
        <f t="shared" si="30"/>
        <v>112275910</v>
      </c>
      <c r="I168" s="564"/>
      <c r="J168" s="1111"/>
      <c r="K168" s="1102"/>
      <c r="L168" s="1103">
        <f t="shared" si="27"/>
        <v>112275910</v>
      </c>
      <c r="M168" s="1104">
        <v>28449522</v>
      </c>
      <c r="N168" s="1103">
        <v>40000000</v>
      </c>
      <c r="O168" s="1103">
        <v>40000000</v>
      </c>
      <c r="P168" s="1104">
        <f t="shared" si="24"/>
        <v>108449522</v>
      </c>
      <c r="Q168" s="1105">
        <f t="shared" si="25"/>
        <v>0.9659197774482523</v>
      </c>
    </row>
    <row r="169" spans="1:17" ht="14.25" customHeight="1" hidden="1" outlineLevel="1">
      <c r="A169" s="1020" t="s">
        <v>682</v>
      </c>
      <c r="B169" s="411"/>
      <c r="C169" s="414"/>
      <c r="D169" s="564">
        <v>5800000</v>
      </c>
      <c r="E169" s="411"/>
      <c r="F169" s="564">
        <f>+D169</f>
        <v>5800000</v>
      </c>
      <c r="G169" s="411"/>
      <c r="H169" s="564">
        <f t="shared" si="30"/>
        <v>5800000</v>
      </c>
      <c r="I169" s="564"/>
      <c r="J169" s="1111"/>
      <c r="K169" s="1102"/>
      <c r="L169" s="1103">
        <f t="shared" si="27"/>
        <v>5800000</v>
      </c>
      <c r="M169" s="1104">
        <v>1890000</v>
      </c>
      <c r="N169" s="1103">
        <v>1800000</v>
      </c>
      <c r="O169" s="1103">
        <v>2110000</v>
      </c>
      <c r="P169" s="1104">
        <f t="shared" si="24"/>
        <v>5800000</v>
      </c>
      <c r="Q169" s="1105">
        <f t="shared" si="25"/>
        <v>1</v>
      </c>
    </row>
    <row r="170" spans="1:17" ht="14.25" customHeight="1" hidden="1" outlineLevel="1">
      <c r="A170" s="1020" t="s">
        <v>432</v>
      </c>
      <c r="B170" s="411"/>
      <c r="C170" s="414"/>
      <c r="D170" s="564">
        <v>2400000</v>
      </c>
      <c r="E170" s="411"/>
      <c r="F170" s="564">
        <f t="shared" si="29"/>
        <v>2400000</v>
      </c>
      <c r="G170" s="411"/>
      <c r="H170" s="564">
        <f t="shared" si="30"/>
        <v>2400000</v>
      </c>
      <c r="I170" s="564"/>
      <c r="J170" s="1111"/>
      <c r="K170" s="1102"/>
      <c r="L170" s="1103">
        <f t="shared" si="27"/>
        <v>2400000</v>
      </c>
      <c r="M170" s="1104">
        <v>955690</v>
      </c>
      <c r="N170" s="1103">
        <v>600000</v>
      </c>
      <c r="O170" s="1103">
        <v>844310</v>
      </c>
      <c r="P170" s="1104">
        <f t="shared" si="24"/>
        <v>2400000</v>
      </c>
      <c r="Q170" s="1105">
        <f t="shared" si="25"/>
        <v>1</v>
      </c>
    </row>
    <row r="171" spans="1:17" ht="15" customHeight="1" hidden="1" outlineLevel="1">
      <c r="A171" s="419"/>
      <c r="B171" s="411"/>
      <c r="C171" s="414"/>
      <c r="D171" s="564"/>
      <c r="E171" s="411"/>
      <c r="F171" s="414"/>
      <c r="G171" s="411"/>
      <c r="H171" s="414"/>
      <c r="I171" s="414"/>
      <c r="J171" s="1101"/>
      <c r="K171" s="1102"/>
      <c r="L171" s="1098"/>
      <c r="M171" s="1099"/>
      <c r="N171" s="1098"/>
      <c r="O171" s="1098"/>
      <c r="P171" s="1099"/>
      <c r="Q171" s="1105"/>
    </row>
    <row r="172" spans="1:17" ht="11.25" customHeight="1" collapsed="1">
      <c r="A172" s="419"/>
      <c r="B172" s="411"/>
      <c r="C172" s="414"/>
      <c r="D172" s="564"/>
      <c r="E172" s="411"/>
      <c r="F172" s="414"/>
      <c r="G172" s="411"/>
      <c r="H172" s="414"/>
      <c r="I172" s="414"/>
      <c r="J172" s="1101"/>
      <c r="K172" s="1102"/>
      <c r="L172" s="1098"/>
      <c r="M172" s="1099"/>
      <c r="N172" s="1098"/>
      <c r="O172" s="1098"/>
      <c r="P172" s="1099"/>
      <c r="Q172" s="1105"/>
    </row>
    <row r="173" spans="1:17" ht="15">
      <c r="A173" s="417" t="s">
        <v>263</v>
      </c>
      <c r="B173" s="411"/>
      <c r="C173" s="411"/>
      <c r="D173" s="411"/>
      <c r="E173" s="414"/>
      <c r="F173" s="414"/>
      <c r="G173" s="412">
        <v>801893260.675385</v>
      </c>
      <c r="H173" s="412">
        <f>+F173+G173</f>
        <v>801893260.675385</v>
      </c>
      <c r="I173" s="412"/>
      <c r="J173" s="1106"/>
      <c r="K173" s="1112">
        <f>+'[7]Anexo 1 Minagricultura'!G13*10%</f>
        <v>49515438.32461509</v>
      </c>
      <c r="L173" s="1098">
        <f>SUM(H173:K173)</f>
        <v>851408699.0000001</v>
      </c>
      <c r="M173" s="1099">
        <f>+'[13]ejecutado'!$J$167</f>
        <v>327621306</v>
      </c>
      <c r="N173" s="1098">
        <v>209282602.4</v>
      </c>
      <c r="O173" s="1098">
        <v>314504791</v>
      </c>
      <c r="P173" s="1099">
        <f t="shared" si="24"/>
        <v>851408699.4</v>
      </c>
      <c r="Q173" s="1107">
        <f t="shared" si="25"/>
        <v>1.0000000004698095</v>
      </c>
    </row>
    <row r="174" spans="1:17" ht="15.75" customHeight="1">
      <c r="A174" s="423"/>
      <c r="B174" s="411"/>
      <c r="C174" s="411"/>
      <c r="D174" s="411"/>
      <c r="E174" s="414"/>
      <c r="F174" s="414"/>
      <c r="G174" s="414"/>
      <c r="H174" s="414"/>
      <c r="I174" s="414"/>
      <c r="J174" s="1115"/>
      <c r="K174" s="1102"/>
      <c r="L174" s="1098"/>
      <c r="M174" s="1099"/>
      <c r="N174" s="1098"/>
      <c r="O174" s="1098"/>
      <c r="P174" s="1099"/>
      <c r="Q174" s="1105"/>
    </row>
    <row r="175" spans="1:17" ht="15">
      <c r="A175" s="417" t="s">
        <v>344</v>
      </c>
      <c r="B175" s="411"/>
      <c r="C175" s="411"/>
      <c r="D175" s="411"/>
      <c r="E175" s="414"/>
      <c r="F175" s="412">
        <v>0</v>
      </c>
      <c r="G175" s="412">
        <f>+G176+G177</f>
        <v>914532940.3162575</v>
      </c>
      <c r="H175" s="412">
        <f>+F175+G175</f>
        <v>914532940.3162575</v>
      </c>
      <c r="I175" s="412">
        <f>+I176+I177</f>
        <v>192695456</v>
      </c>
      <c r="J175" s="1116">
        <f>+J176+J177</f>
        <v>21712666</v>
      </c>
      <c r="K175" s="1112">
        <f>+K176+K177</f>
        <v>405609968</v>
      </c>
      <c r="L175" s="1098">
        <f>SUM(H175:K175)</f>
        <v>1534551030.3162575</v>
      </c>
      <c r="M175" s="1099"/>
      <c r="N175" s="1098">
        <f>+N176+N177</f>
        <v>0</v>
      </c>
      <c r="O175" s="1098">
        <f>+O176+O177</f>
        <v>0</v>
      </c>
      <c r="P175" s="1098"/>
      <c r="Q175" s="1105"/>
    </row>
    <row r="176" spans="1:17" s="429" customFormat="1" ht="14.25">
      <c r="A176" s="416" t="s">
        <v>433</v>
      </c>
      <c r="B176" s="411"/>
      <c r="C176" s="411"/>
      <c r="D176" s="411"/>
      <c r="E176" s="414"/>
      <c r="F176" s="414">
        <v>0</v>
      </c>
      <c r="G176" s="414">
        <v>153692650.76383972</v>
      </c>
      <c r="H176" s="414">
        <f>+G176</f>
        <v>153692650.76383972</v>
      </c>
      <c r="I176" s="414">
        <f>85002304-30000000</f>
        <v>55002304</v>
      </c>
      <c r="J176" s="1115">
        <f>21712666</f>
        <v>21712666</v>
      </c>
      <c r="K176" s="1102">
        <f>334229209-230000000-21927000+15115451+196782572</f>
        <v>294200232</v>
      </c>
      <c r="L176" s="1103">
        <f>SUM(H176:K176)</f>
        <v>524607852.7638397</v>
      </c>
      <c r="M176" s="1104"/>
      <c r="N176" s="1103">
        <v>0</v>
      </c>
      <c r="O176" s="1103">
        <v>0</v>
      </c>
      <c r="P176" s="1104"/>
      <c r="Q176" s="1105"/>
    </row>
    <row r="177" spans="1:17" s="429" customFormat="1" ht="14.25">
      <c r="A177" s="416" t="s">
        <v>434</v>
      </c>
      <c r="B177" s="411"/>
      <c r="C177" s="411"/>
      <c r="D177" s="411"/>
      <c r="E177" s="414"/>
      <c r="F177" s="414">
        <v>0</v>
      </c>
      <c r="G177" s="414">
        <v>760840289.5524178</v>
      </c>
      <c r="H177" s="414">
        <f>+G177</f>
        <v>760840289.5524178</v>
      </c>
      <c r="I177" s="414">
        <v>137693152</v>
      </c>
      <c r="J177" s="1115"/>
      <c r="K177" s="1102">
        <v>111409736</v>
      </c>
      <c r="L177" s="1103">
        <f>SUM(H177:K177)</f>
        <v>1009943177.5524178</v>
      </c>
      <c r="M177" s="1104"/>
      <c r="N177" s="1103">
        <v>0</v>
      </c>
      <c r="O177" s="1103">
        <v>0</v>
      </c>
      <c r="P177" s="1104"/>
      <c r="Q177" s="1105"/>
    </row>
    <row r="178" spans="1:17" ht="12.75" customHeight="1">
      <c r="A178" s="423"/>
      <c r="B178" s="411"/>
      <c r="C178" s="411"/>
      <c r="D178" s="411"/>
      <c r="E178" s="414"/>
      <c r="F178" s="414"/>
      <c r="G178" s="414"/>
      <c r="H178" s="414"/>
      <c r="I178" s="414"/>
      <c r="J178" s="1115"/>
      <c r="K178" s="1115"/>
      <c r="L178" s="1098"/>
      <c r="M178" s="1099"/>
      <c r="N178" s="1098"/>
      <c r="O178" s="1098"/>
      <c r="P178" s="1099"/>
      <c r="Q178" s="1105"/>
    </row>
    <row r="179" spans="1:17" ht="18" customHeight="1">
      <c r="A179" s="423" t="s">
        <v>462</v>
      </c>
      <c r="B179" s="412">
        <f>+B37+B39</f>
        <v>4025249383.0158587</v>
      </c>
      <c r="C179" s="412">
        <f>+C37+C39</f>
        <v>918734611.4621673</v>
      </c>
      <c r="D179" s="412">
        <f>+D37+D39</f>
        <v>5947049691.243192</v>
      </c>
      <c r="E179" s="412">
        <f>+E37+E39</f>
        <v>3142832549.5926476</v>
      </c>
      <c r="F179" s="412">
        <f>+F37+F39</f>
        <v>14033866235.313866</v>
      </c>
      <c r="G179" s="412">
        <f>+G175+G173+G37</f>
        <v>2318100309.8587255</v>
      </c>
      <c r="H179" s="412">
        <f>+F179+G179</f>
        <v>16351966545.172592</v>
      </c>
      <c r="I179" s="412">
        <f>+I175+I39</f>
        <v>222695456</v>
      </c>
      <c r="J179" s="1117">
        <f>+J39+J37</f>
        <v>-542884986</v>
      </c>
      <c r="K179" s="412">
        <f>+K37+K39+K175+K173</f>
        <v>377837561.3246151</v>
      </c>
      <c r="L179" s="1098">
        <f>SUM(H179:K179)</f>
        <v>16409614576.497208</v>
      </c>
      <c r="M179" s="1099">
        <f>+M173+M142+M113+M71+M41+M37</f>
        <v>6109057686.5</v>
      </c>
      <c r="N179" s="1099">
        <f>+N173+N142+N113+N71+N41+N37</f>
        <v>3790397415.387492</v>
      </c>
      <c r="O179" s="1099">
        <f>+O173+O142+O113+O71+O41+O37</f>
        <v>4419047498.950964</v>
      </c>
      <c r="P179" s="1099">
        <f t="shared" si="24"/>
        <v>14318502600.838455</v>
      </c>
      <c r="Q179" s="1100">
        <f t="shared" si="25"/>
        <v>0.8725678798907462</v>
      </c>
    </row>
    <row r="180" spans="1:17" ht="19.5" customHeight="1" thickBot="1">
      <c r="A180" s="883"/>
      <c r="B180" s="408"/>
      <c r="C180" s="884"/>
      <c r="D180" s="884"/>
      <c r="E180" s="884"/>
      <c r="F180" s="884"/>
      <c r="G180" s="884"/>
      <c r="H180" s="941"/>
      <c r="I180" s="941"/>
      <c r="J180" s="942"/>
      <c r="K180" s="942"/>
      <c r="L180" s="947"/>
      <c r="M180" s="948"/>
      <c r="N180" s="1011"/>
      <c r="O180" s="1011"/>
      <c r="P180" s="1011"/>
      <c r="Q180" s="949"/>
    </row>
    <row r="181" spans="1:16" ht="19.5" thickBot="1" thickTop="1">
      <c r="A181" s="886"/>
      <c r="B181" s="386"/>
      <c r="C181" s="377"/>
      <c r="D181" s="377"/>
      <c r="E181" s="377"/>
      <c r="F181" s="377"/>
      <c r="G181" s="882"/>
      <c r="H181" s="882"/>
      <c r="I181" s="882"/>
      <c r="J181" s="882"/>
      <c r="K181" s="882"/>
      <c r="L181" s="940"/>
      <c r="M181" s="377"/>
      <c r="N181" s="377"/>
      <c r="O181" s="377"/>
      <c r="P181" s="377"/>
    </row>
    <row r="182" spans="1:17" ht="16.5" thickBot="1">
      <c r="A182" s="1355" t="s">
        <v>568</v>
      </c>
      <c r="B182" s="1356"/>
      <c r="C182" s="1356"/>
      <c r="D182" s="1356"/>
      <c r="E182" s="1356"/>
      <c r="F182" s="1356"/>
      <c r="G182" s="1356"/>
      <c r="H182" s="1356"/>
      <c r="I182" s="1356"/>
      <c r="J182" s="1356"/>
      <c r="K182" s="1356"/>
      <c r="L182" s="1356"/>
      <c r="M182" s="1356"/>
      <c r="N182" s="1356"/>
      <c r="O182" s="1356"/>
      <c r="P182" s="1357"/>
      <c r="Q182" s="646">
        <f>+P113+P71+P41+P173+P37-V37</f>
        <v>8609912902.063921</v>
      </c>
    </row>
    <row r="183" spans="1:17" ht="16.5" thickBot="1">
      <c r="A183" s="886"/>
      <c r="B183" s="882"/>
      <c r="C183" s="377"/>
      <c r="D183" s="377"/>
      <c r="E183" s="889"/>
      <c r="F183" s="890"/>
      <c r="G183" s="890"/>
      <c r="H183" s="891"/>
      <c r="I183" s="891"/>
      <c r="J183" s="891"/>
      <c r="K183" s="891"/>
      <c r="L183" s="943"/>
      <c r="M183" s="377"/>
      <c r="N183" s="377"/>
      <c r="O183" s="377"/>
      <c r="P183" s="377"/>
      <c r="Q183" s="643"/>
    </row>
    <row r="184" spans="1:17" ht="16.5" thickBot="1">
      <c r="A184" s="1355" t="s">
        <v>569</v>
      </c>
      <c r="B184" s="1356"/>
      <c r="C184" s="1356"/>
      <c r="D184" s="1356"/>
      <c r="E184" s="1356"/>
      <c r="F184" s="1356"/>
      <c r="G184" s="1356"/>
      <c r="H184" s="1356"/>
      <c r="I184" s="1356"/>
      <c r="J184" s="1356"/>
      <c r="K184" s="1356"/>
      <c r="L184" s="1356"/>
      <c r="M184" s="1356"/>
      <c r="N184" s="1356"/>
      <c r="O184" s="1356"/>
      <c r="P184" s="1357"/>
      <c r="Q184" s="646">
        <f>+P142+V37</f>
        <v>5708589698.774534</v>
      </c>
    </row>
    <row r="185" spans="1:16" ht="15.75">
      <c r="A185" s="886"/>
      <c r="B185" s="377"/>
      <c r="C185" s="377"/>
      <c r="D185" s="377"/>
      <c r="E185" s="889"/>
      <c r="F185" s="893"/>
      <c r="G185" s="944"/>
      <c r="H185" s="893"/>
      <c r="I185" s="893"/>
      <c r="J185" s="893"/>
      <c r="K185" s="893"/>
      <c r="L185" s="945"/>
      <c r="M185" s="377"/>
      <c r="N185" s="377"/>
      <c r="O185" s="377"/>
      <c r="P185" s="377"/>
    </row>
    <row r="186" spans="1:16" ht="15.75">
      <c r="A186" s="886"/>
      <c r="B186" s="377"/>
      <c r="C186" s="377"/>
      <c r="D186" s="377"/>
      <c r="E186" s="889"/>
      <c r="F186" s="893"/>
      <c r="G186" s="944"/>
      <c r="H186" s="893"/>
      <c r="I186" s="893"/>
      <c r="J186" s="893"/>
      <c r="K186" s="893"/>
      <c r="L186" s="945"/>
      <c r="M186" s="377"/>
      <c r="N186" s="377"/>
      <c r="O186" s="377"/>
      <c r="P186" s="377"/>
    </row>
    <row r="187" spans="1:16" ht="15.75">
      <c r="A187" s="886"/>
      <c r="B187" s="377"/>
      <c r="C187" s="377"/>
      <c r="D187" s="377"/>
      <c r="E187" s="889"/>
      <c r="F187" s="893"/>
      <c r="G187" s="889"/>
      <c r="H187" s="889"/>
      <c r="I187" s="889"/>
      <c r="J187" s="889"/>
      <c r="K187" s="889"/>
      <c r="L187" s="377"/>
      <c r="M187" s="377"/>
      <c r="N187" s="377"/>
      <c r="O187" s="377"/>
      <c r="P187" s="377"/>
    </row>
    <row r="188" spans="1:16" ht="12.75">
      <c r="A188" s="377"/>
      <c r="B188" s="377"/>
      <c r="C188" s="377"/>
      <c r="D188" s="377"/>
      <c r="E188" s="377"/>
      <c r="F188" s="377"/>
      <c r="G188" s="377"/>
      <c r="H188" s="377"/>
      <c r="I188" s="377"/>
      <c r="J188" s="377"/>
      <c r="K188" s="377"/>
      <c r="L188" s="377"/>
      <c r="M188" s="377"/>
      <c r="N188" s="377"/>
      <c r="O188" s="377"/>
      <c r="P188" s="377"/>
    </row>
    <row r="189" spans="1:16" ht="12.75">
      <c r="A189" s="377"/>
      <c r="B189" s="377"/>
      <c r="C189" s="377"/>
      <c r="D189" s="377"/>
      <c r="E189" s="377"/>
      <c r="F189" s="882"/>
      <c r="G189" s="882"/>
      <c r="H189" s="377"/>
      <c r="I189" s="377"/>
      <c r="J189" s="377"/>
      <c r="K189" s="377"/>
      <c r="L189" s="377"/>
      <c r="M189" s="377"/>
      <c r="N189" s="377"/>
      <c r="O189" s="377"/>
      <c r="P189" s="377"/>
    </row>
    <row r="190" spans="1:16" ht="12.75">
      <c r="A190" s="377"/>
      <c r="B190" s="377"/>
      <c r="C190" s="377"/>
      <c r="D190" s="377"/>
      <c r="E190" s="377"/>
      <c r="F190" s="377"/>
      <c r="G190" s="377"/>
      <c r="H190" s="377"/>
      <c r="I190" s="377"/>
      <c r="J190" s="377"/>
      <c r="K190" s="377"/>
      <c r="L190" s="377"/>
      <c r="M190" s="377"/>
      <c r="N190" s="377"/>
      <c r="O190" s="377"/>
      <c r="P190" s="377"/>
    </row>
    <row r="191" spans="1:16" ht="12.75">
      <c r="A191" s="377"/>
      <c r="B191" s="377"/>
      <c r="C191" s="377"/>
      <c r="D191" s="377"/>
      <c r="E191" s="377"/>
      <c r="F191" s="377"/>
      <c r="G191" s="377"/>
      <c r="H191" s="377"/>
      <c r="I191" s="377"/>
      <c r="J191" s="377"/>
      <c r="K191" s="377"/>
      <c r="L191" s="377"/>
      <c r="M191" s="377"/>
      <c r="N191" s="377"/>
      <c r="O191" s="377"/>
      <c r="P191" s="377"/>
    </row>
    <row r="192" spans="1:16" ht="12" customHeight="1">
      <c r="A192" s="377"/>
      <c r="B192" s="377"/>
      <c r="C192" s="377"/>
      <c r="D192" s="377"/>
      <c r="E192" s="377"/>
      <c r="F192" s="377"/>
      <c r="G192" s="946"/>
      <c r="H192" s="377"/>
      <c r="I192" s="377"/>
      <c r="J192" s="377"/>
      <c r="K192" s="377"/>
      <c r="L192" s="377"/>
      <c r="M192" s="377"/>
      <c r="N192" s="377"/>
      <c r="O192" s="377"/>
      <c r="P192" s="377"/>
    </row>
    <row r="193" spans="1:16" ht="12.75">
      <c r="A193" s="377"/>
      <c r="B193" s="377"/>
      <c r="C193" s="377"/>
      <c r="D193" s="377"/>
      <c r="E193" s="377"/>
      <c r="F193" s="377"/>
      <c r="G193" s="377"/>
      <c r="H193" s="377"/>
      <c r="I193" s="377"/>
      <c r="J193" s="377"/>
      <c r="K193" s="377"/>
      <c r="L193" s="377"/>
      <c r="M193" s="377"/>
      <c r="N193" s="377"/>
      <c r="O193" s="377"/>
      <c r="P193" s="377"/>
    </row>
    <row r="194" spans="1:16" ht="12.75">
      <c r="A194" s="377"/>
      <c r="B194" s="377"/>
      <c r="C194" s="377"/>
      <c r="D194" s="377"/>
      <c r="E194" s="377"/>
      <c r="F194" s="377"/>
      <c r="G194" s="377"/>
      <c r="H194" s="377"/>
      <c r="I194" s="377"/>
      <c r="J194" s="377"/>
      <c r="K194" s="377"/>
      <c r="L194" s="377"/>
      <c r="M194" s="377"/>
      <c r="N194" s="377"/>
      <c r="O194" s="377"/>
      <c r="P194" s="377"/>
    </row>
    <row r="195" spans="1:16" ht="12.75">
      <c r="A195" s="377"/>
      <c r="B195" s="377"/>
      <c r="C195" s="377"/>
      <c r="D195" s="377"/>
      <c r="E195" s="377"/>
      <c r="F195" s="377"/>
      <c r="G195" s="377"/>
      <c r="H195" s="377"/>
      <c r="I195" s="377"/>
      <c r="J195" s="377"/>
      <c r="K195" s="377"/>
      <c r="L195" s="377"/>
      <c r="M195" s="377"/>
      <c r="N195" s="377"/>
      <c r="O195" s="377"/>
      <c r="P195" s="377"/>
    </row>
    <row r="196" spans="1:16" ht="12.75">
      <c r="A196" s="377"/>
      <c r="B196" s="377"/>
      <c r="C196" s="377"/>
      <c r="D196" s="377"/>
      <c r="E196" s="377"/>
      <c r="F196" s="377"/>
      <c r="G196" s="377"/>
      <c r="H196" s="377"/>
      <c r="I196" s="377"/>
      <c r="J196" s="377"/>
      <c r="K196" s="377"/>
      <c r="L196" s="377"/>
      <c r="M196" s="377"/>
      <c r="N196" s="377"/>
      <c r="O196" s="377"/>
      <c r="P196" s="377"/>
    </row>
    <row r="197" spans="1:16" ht="12.75">
      <c r="A197" s="377"/>
      <c r="B197" s="377"/>
      <c r="C197" s="377"/>
      <c r="D197" s="377"/>
      <c r="E197" s="377"/>
      <c r="F197" s="377"/>
      <c r="G197" s="377"/>
      <c r="H197" s="377"/>
      <c r="I197" s="377"/>
      <c r="J197" s="377"/>
      <c r="K197" s="377"/>
      <c r="L197" s="377"/>
      <c r="M197" s="377"/>
      <c r="N197" s="377"/>
      <c r="O197" s="377"/>
      <c r="P197" s="377"/>
    </row>
    <row r="198" spans="1:16" ht="12.75">
      <c r="A198" s="377"/>
      <c r="B198" s="377"/>
      <c r="C198" s="377"/>
      <c r="D198" s="377"/>
      <c r="E198" s="377"/>
      <c r="F198" s="377"/>
      <c r="G198" s="377"/>
      <c r="H198" s="377"/>
      <c r="I198" s="377"/>
      <c r="J198" s="377"/>
      <c r="K198" s="377"/>
      <c r="L198" s="377"/>
      <c r="M198" s="377"/>
      <c r="N198" s="377"/>
      <c r="O198" s="377"/>
      <c r="P198" s="377"/>
    </row>
    <row r="199" spans="1:16" ht="12.75">
      <c r="A199" s="377"/>
      <c r="B199" s="377"/>
      <c r="C199" s="377"/>
      <c r="D199" s="377"/>
      <c r="E199" s="377"/>
      <c r="F199" s="377"/>
      <c r="G199" s="377"/>
      <c r="H199" s="377"/>
      <c r="I199" s="377"/>
      <c r="J199" s="377"/>
      <c r="K199" s="377"/>
      <c r="L199" s="377"/>
      <c r="M199" s="377"/>
      <c r="N199" s="377"/>
      <c r="O199" s="377"/>
      <c r="P199" s="377"/>
    </row>
    <row r="200" spans="1:16" ht="12.75">
      <c r="A200" s="377"/>
      <c r="B200" s="377"/>
      <c r="C200" s="377"/>
      <c r="D200" s="377"/>
      <c r="E200" s="377"/>
      <c r="F200" s="377"/>
      <c r="G200" s="377"/>
      <c r="H200" s="377"/>
      <c r="I200" s="377"/>
      <c r="J200" s="377"/>
      <c r="K200" s="377"/>
      <c r="L200" s="377"/>
      <c r="M200" s="377"/>
      <c r="N200" s="377"/>
      <c r="O200" s="377"/>
      <c r="P200" s="377"/>
    </row>
    <row r="201" spans="1:16" ht="12.75">
      <c r="A201" s="377"/>
      <c r="B201" s="377"/>
      <c r="C201" s="377"/>
      <c r="D201" s="377"/>
      <c r="E201" s="377"/>
      <c r="F201" s="377"/>
      <c r="G201" s="377"/>
      <c r="H201" s="377"/>
      <c r="I201" s="377"/>
      <c r="J201" s="377"/>
      <c r="K201" s="377"/>
      <c r="L201" s="377"/>
      <c r="M201" s="377"/>
      <c r="N201" s="377"/>
      <c r="O201" s="377"/>
      <c r="P201" s="377"/>
    </row>
    <row r="202" spans="1:16" ht="12.75">
      <c r="A202" s="377"/>
      <c r="B202" s="377"/>
      <c r="C202" s="377"/>
      <c r="D202" s="377"/>
      <c r="E202" s="377"/>
      <c r="F202" s="377"/>
      <c r="G202" s="377"/>
      <c r="H202" s="377"/>
      <c r="I202" s="377"/>
      <c r="J202" s="377"/>
      <c r="K202" s="377"/>
      <c r="L202" s="377"/>
      <c r="M202" s="377"/>
      <c r="N202" s="377"/>
      <c r="O202" s="377"/>
      <c r="P202" s="377"/>
    </row>
    <row r="203" spans="1:16" ht="12.75">
      <c r="A203" s="377"/>
      <c r="B203" s="377"/>
      <c r="C203" s="377"/>
      <c r="D203" s="377"/>
      <c r="E203" s="377"/>
      <c r="F203" s="377"/>
      <c r="G203" s="377"/>
      <c r="H203" s="377"/>
      <c r="I203" s="377"/>
      <c r="J203" s="377"/>
      <c r="K203" s="377"/>
      <c r="L203" s="377"/>
      <c r="M203" s="377"/>
      <c r="N203" s="377"/>
      <c r="O203" s="377"/>
      <c r="P203" s="377"/>
    </row>
    <row r="204" spans="1:16" ht="12.75">
      <c r="A204" s="377"/>
      <c r="B204" s="377"/>
      <c r="C204" s="377"/>
      <c r="D204" s="377"/>
      <c r="E204" s="377"/>
      <c r="F204" s="377"/>
      <c r="G204" s="377"/>
      <c r="H204" s="377"/>
      <c r="I204" s="377"/>
      <c r="J204" s="377"/>
      <c r="K204" s="377"/>
      <c r="L204" s="377"/>
      <c r="M204" s="377"/>
      <c r="N204" s="377"/>
      <c r="O204" s="377"/>
      <c r="P204" s="377"/>
    </row>
    <row r="205" spans="1:16" ht="12.75">
      <c r="A205" s="377"/>
      <c r="B205" s="377"/>
      <c r="C205" s="377"/>
      <c r="D205" s="377"/>
      <c r="E205" s="377"/>
      <c r="F205" s="377"/>
      <c r="G205" s="377"/>
      <c r="H205" s="377"/>
      <c r="I205" s="377"/>
      <c r="J205" s="377"/>
      <c r="K205" s="377"/>
      <c r="L205" s="377"/>
      <c r="M205" s="377"/>
      <c r="N205" s="377"/>
      <c r="O205" s="377"/>
      <c r="P205" s="377"/>
    </row>
    <row r="206" spans="1:16" ht="12.75">
      <c r="A206" s="377"/>
      <c r="B206" s="377"/>
      <c r="C206" s="377"/>
      <c r="D206" s="377"/>
      <c r="E206" s="377"/>
      <c r="F206" s="377"/>
      <c r="G206" s="377"/>
      <c r="H206" s="377"/>
      <c r="I206" s="377"/>
      <c r="J206" s="377"/>
      <c r="K206" s="377"/>
      <c r="L206" s="377"/>
      <c r="M206" s="377"/>
      <c r="N206" s="377"/>
      <c r="O206" s="377"/>
      <c r="P206" s="377"/>
    </row>
    <row r="207" spans="1:16" ht="12.75">
      <c r="A207" s="377"/>
      <c r="B207" s="377"/>
      <c r="C207" s="377"/>
      <c r="D207" s="377"/>
      <c r="E207" s="377"/>
      <c r="F207" s="377"/>
      <c r="G207" s="377"/>
      <c r="H207" s="377"/>
      <c r="I207" s="377"/>
      <c r="J207" s="377"/>
      <c r="K207" s="377"/>
      <c r="L207" s="377"/>
      <c r="M207" s="377"/>
      <c r="N207" s="377"/>
      <c r="O207" s="377"/>
      <c r="P207" s="377"/>
    </row>
    <row r="208" spans="1:16" ht="12.75">
      <c r="A208" s="377"/>
      <c r="B208" s="377"/>
      <c r="C208" s="377"/>
      <c r="D208" s="377"/>
      <c r="E208" s="377"/>
      <c r="F208" s="377"/>
      <c r="G208" s="377"/>
      <c r="H208" s="377"/>
      <c r="I208" s="377"/>
      <c r="J208" s="377"/>
      <c r="K208" s="377"/>
      <c r="L208" s="377"/>
      <c r="M208" s="377"/>
      <c r="N208" s="377"/>
      <c r="O208" s="377"/>
      <c r="P208" s="377"/>
    </row>
    <row r="209" spans="1:16" ht="12.75">
      <c r="A209" s="377"/>
      <c r="B209" s="377"/>
      <c r="C209" s="377"/>
      <c r="D209" s="377"/>
      <c r="E209" s="377"/>
      <c r="F209" s="377"/>
      <c r="G209" s="377"/>
      <c r="H209" s="377"/>
      <c r="I209" s="377"/>
      <c r="J209" s="377"/>
      <c r="K209" s="377"/>
      <c r="L209" s="377"/>
      <c r="M209" s="377"/>
      <c r="N209" s="377"/>
      <c r="O209" s="377"/>
      <c r="P209" s="377"/>
    </row>
    <row r="210" spans="1:16" ht="12.75">
      <c r="A210" s="377"/>
      <c r="B210" s="377"/>
      <c r="C210" s="377"/>
      <c r="D210" s="377"/>
      <c r="E210" s="377"/>
      <c r="F210" s="377"/>
      <c r="G210" s="377"/>
      <c r="H210" s="377"/>
      <c r="I210" s="377"/>
      <c r="J210" s="377"/>
      <c r="K210" s="377"/>
      <c r="L210" s="377"/>
      <c r="M210" s="377"/>
      <c r="N210" s="377"/>
      <c r="O210" s="377"/>
      <c r="P210" s="377"/>
    </row>
    <row r="211" spans="1:16" ht="12.75">
      <c r="A211" s="377"/>
      <c r="B211" s="377"/>
      <c r="C211" s="377"/>
      <c r="D211" s="377"/>
      <c r="E211" s="377"/>
      <c r="F211" s="377"/>
      <c r="G211" s="377"/>
      <c r="H211" s="377"/>
      <c r="I211" s="377"/>
      <c r="J211" s="377"/>
      <c r="K211" s="377"/>
      <c r="L211" s="377"/>
      <c r="M211" s="377"/>
      <c r="N211" s="377"/>
      <c r="O211" s="377"/>
      <c r="P211" s="377"/>
    </row>
    <row r="212" spans="1:16" ht="12.75">
      <c r="A212" s="377"/>
      <c r="B212" s="377"/>
      <c r="C212" s="377"/>
      <c r="D212" s="377"/>
      <c r="E212" s="377"/>
      <c r="F212" s="377"/>
      <c r="G212" s="377"/>
      <c r="H212" s="377"/>
      <c r="I212" s="377"/>
      <c r="J212" s="377"/>
      <c r="K212" s="377"/>
      <c r="L212" s="377"/>
      <c r="M212" s="377"/>
      <c r="N212" s="377"/>
      <c r="O212" s="377"/>
      <c r="P212" s="377"/>
    </row>
    <row r="213" spans="1:16" ht="12.75">
      <c r="A213" s="377"/>
      <c r="B213" s="377"/>
      <c r="C213" s="377"/>
      <c r="D213" s="377"/>
      <c r="E213" s="377"/>
      <c r="F213" s="377"/>
      <c r="G213" s="377"/>
      <c r="H213" s="377"/>
      <c r="I213" s="377"/>
      <c r="J213" s="377"/>
      <c r="K213" s="377"/>
      <c r="L213" s="377"/>
      <c r="M213" s="377"/>
      <c r="N213" s="377"/>
      <c r="O213" s="377"/>
      <c r="P213" s="377"/>
    </row>
    <row r="214" spans="1:16" ht="12.75">
      <c r="A214" s="377"/>
      <c r="B214" s="377"/>
      <c r="C214" s="377"/>
      <c r="D214" s="377"/>
      <c r="E214" s="377"/>
      <c r="F214" s="377"/>
      <c r="G214" s="377"/>
      <c r="H214" s="377"/>
      <c r="I214" s="377"/>
      <c r="J214" s="377"/>
      <c r="K214" s="377"/>
      <c r="L214" s="377"/>
      <c r="M214" s="377"/>
      <c r="N214" s="377"/>
      <c r="O214" s="377"/>
      <c r="P214" s="377"/>
    </row>
    <row r="215" spans="1:16" ht="12.75">
      <c r="A215" s="377"/>
      <c r="B215" s="377"/>
      <c r="C215" s="377"/>
      <c r="D215" s="377"/>
      <c r="E215" s="377"/>
      <c r="F215" s="377"/>
      <c r="G215" s="377"/>
      <c r="H215" s="377"/>
      <c r="I215" s="377"/>
      <c r="J215" s="377"/>
      <c r="K215" s="377"/>
      <c r="L215" s="377"/>
      <c r="M215" s="377"/>
      <c r="N215" s="377"/>
      <c r="O215" s="377"/>
      <c r="P215" s="377"/>
    </row>
    <row r="216" spans="1:16" ht="12.75">
      <c r="A216" s="377"/>
      <c r="B216" s="377"/>
      <c r="C216" s="377"/>
      <c r="D216" s="377"/>
      <c r="E216" s="377"/>
      <c r="F216" s="377"/>
      <c r="G216" s="377"/>
      <c r="H216" s="377"/>
      <c r="I216" s="377"/>
      <c r="J216" s="377"/>
      <c r="K216" s="377"/>
      <c r="L216" s="377"/>
      <c r="M216" s="377"/>
      <c r="N216" s="377"/>
      <c r="O216" s="377"/>
      <c r="P216" s="377"/>
    </row>
    <row r="217" spans="1:16" ht="12.75">
      <c r="A217" s="377"/>
      <c r="B217" s="377"/>
      <c r="C217" s="377"/>
      <c r="D217" s="377"/>
      <c r="E217" s="377"/>
      <c r="F217" s="377"/>
      <c r="G217" s="377"/>
      <c r="H217" s="377"/>
      <c r="I217" s="377"/>
      <c r="J217" s="377"/>
      <c r="K217" s="377"/>
      <c r="L217" s="377"/>
      <c r="M217" s="377"/>
      <c r="N217" s="377"/>
      <c r="O217" s="377"/>
      <c r="P217" s="377"/>
    </row>
    <row r="218" spans="1:16" ht="12.75">
      <c r="A218" s="377"/>
      <c r="B218" s="377"/>
      <c r="C218" s="377"/>
      <c r="D218" s="377"/>
      <c r="E218" s="377"/>
      <c r="F218" s="377"/>
      <c r="G218" s="377"/>
      <c r="H218" s="377"/>
      <c r="I218" s="377"/>
      <c r="J218" s="377"/>
      <c r="K218" s="377"/>
      <c r="L218" s="377"/>
      <c r="M218" s="377"/>
      <c r="N218" s="377"/>
      <c r="O218" s="377"/>
      <c r="P218" s="377"/>
    </row>
    <row r="219" spans="1:16" ht="12.75">
      <c r="A219" s="377"/>
      <c r="B219" s="377"/>
      <c r="C219" s="377"/>
      <c r="D219" s="377"/>
      <c r="E219" s="377"/>
      <c r="F219" s="377"/>
      <c r="G219" s="377"/>
      <c r="H219" s="377"/>
      <c r="I219" s="377"/>
      <c r="J219" s="377"/>
      <c r="K219" s="377"/>
      <c r="L219" s="377"/>
      <c r="M219" s="377"/>
      <c r="N219" s="377"/>
      <c r="O219" s="377"/>
      <c r="P219" s="377"/>
    </row>
    <row r="220" spans="1:16" ht="12.75">
      <c r="A220" s="377"/>
      <c r="B220" s="377"/>
      <c r="C220" s="377"/>
      <c r="D220" s="377"/>
      <c r="E220" s="377"/>
      <c r="F220" s="377"/>
      <c r="G220" s="377"/>
      <c r="H220" s="377"/>
      <c r="I220" s="377"/>
      <c r="J220" s="377"/>
      <c r="K220" s="377"/>
      <c r="L220" s="377"/>
      <c r="M220" s="377"/>
      <c r="N220" s="377"/>
      <c r="O220" s="377"/>
      <c r="P220" s="377"/>
    </row>
    <row r="221" spans="1:16" ht="12.75">
      <c r="A221" s="377"/>
      <c r="B221" s="377"/>
      <c r="C221" s="377"/>
      <c r="D221" s="377"/>
      <c r="E221" s="377"/>
      <c r="F221" s="377"/>
      <c r="G221" s="377"/>
      <c r="H221" s="377"/>
      <c r="I221" s="377"/>
      <c r="J221" s="377"/>
      <c r="K221" s="377"/>
      <c r="L221" s="377"/>
      <c r="M221" s="377"/>
      <c r="N221" s="377"/>
      <c r="O221" s="377"/>
      <c r="P221" s="377"/>
    </row>
    <row r="222" spans="1:16" ht="12.75">
      <c r="A222" s="377"/>
      <c r="B222" s="377"/>
      <c r="C222" s="377"/>
      <c r="D222" s="377"/>
      <c r="E222" s="377"/>
      <c r="F222" s="377"/>
      <c r="G222" s="377"/>
      <c r="H222" s="377"/>
      <c r="I222" s="377"/>
      <c r="J222" s="377"/>
      <c r="K222" s="377"/>
      <c r="L222" s="377"/>
      <c r="M222" s="377"/>
      <c r="N222" s="377"/>
      <c r="O222" s="377"/>
      <c r="P222" s="377"/>
    </row>
    <row r="223" spans="1:16" ht="12.75">
      <c r="A223" s="377"/>
      <c r="B223" s="377"/>
      <c r="C223" s="377"/>
      <c r="D223" s="377"/>
      <c r="E223" s="377"/>
      <c r="F223" s="377"/>
      <c r="G223" s="377"/>
      <c r="H223" s="377"/>
      <c r="I223" s="377"/>
      <c r="J223" s="377"/>
      <c r="K223" s="377"/>
      <c r="L223" s="377"/>
      <c r="M223" s="377"/>
      <c r="N223" s="377"/>
      <c r="O223" s="377"/>
      <c r="P223" s="377"/>
    </row>
    <row r="224" spans="1:16" ht="12.75">
      <c r="A224" s="377"/>
      <c r="B224" s="377"/>
      <c r="C224" s="377"/>
      <c r="D224" s="377"/>
      <c r="E224" s="377"/>
      <c r="F224" s="377"/>
      <c r="G224" s="377"/>
      <c r="H224" s="377"/>
      <c r="I224" s="377"/>
      <c r="J224" s="377"/>
      <c r="K224" s="377"/>
      <c r="L224" s="377"/>
      <c r="M224" s="377"/>
      <c r="N224" s="377"/>
      <c r="O224" s="377"/>
      <c r="P224" s="377"/>
    </row>
    <row r="225" spans="1:16" ht="12.75">
      <c r="A225" s="377"/>
      <c r="B225" s="377"/>
      <c r="C225" s="377"/>
      <c r="D225" s="377"/>
      <c r="E225" s="377"/>
      <c r="F225" s="377"/>
      <c r="G225" s="377"/>
      <c r="H225" s="377"/>
      <c r="I225" s="377"/>
      <c r="J225" s="377"/>
      <c r="K225" s="377"/>
      <c r="L225" s="377"/>
      <c r="M225" s="377"/>
      <c r="N225" s="377"/>
      <c r="O225" s="377"/>
      <c r="P225" s="377"/>
    </row>
    <row r="226" spans="1:16" ht="12.75">
      <c r="A226" s="377"/>
      <c r="B226" s="377"/>
      <c r="C226" s="377"/>
      <c r="D226" s="377"/>
      <c r="E226" s="377"/>
      <c r="F226" s="377"/>
      <c r="G226" s="377"/>
      <c r="H226" s="377"/>
      <c r="I226" s="377"/>
      <c r="J226" s="377"/>
      <c r="K226" s="377"/>
      <c r="L226" s="377"/>
      <c r="M226" s="377"/>
      <c r="N226" s="377"/>
      <c r="O226" s="377"/>
      <c r="P226" s="377"/>
    </row>
    <row r="227" spans="1:16" ht="12.75">
      <c r="A227" s="377"/>
      <c r="B227" s="377"/>
      <c r="C227" s="377"/>
      <c r="D227" s="377"/>
      <c r="E227" s="377"/>
      <c r="F227" s="377"/>
      <c r="G227" s="377"/>
      <c r="H227" s="377"/>
      <c r="I227" s="377"/>
      <c r="J227" s="377"/>
      <c r="K227" s="377"/>
      <c r="L227" s="377"/>
      <c r="M227" s="377"/>
      <c r="N227" s="377"/>
      <c r="O227" s="377"/>
      <c r="P227" s="377"/>
    </row>
    <row r="228" spans="1:16" ht="12.75">
      <c r="A228" s="377"/>
      <c r="B228" s="377"/>
      <c r="C228" s="377"/>
      <c r="D228" s="377"/>
      <c r="E228" s="377"/>
      <c r="F228" s="377"/>
      <c r="G228" s="377"/>
      <c r="H228" s="377"/>
      <c r="I228" s="377"/>
      <c r="J228" s="377"/>
      <c r="K228" s="377"/>
      <c r="L228" s="377"/>
      <c r="M228" s="377"/>
      <c r="N228" s="377"/>
      <c r="O228" s="377"/>
      <c r="P228" s="377"/>
    </row>
    <row r="229" spans="1:16" ht="12.75">
      <c r="A229" s="377"/>
      <c r="B229" s="377"/>
      <c r="C229" s="377"/>
      <c r="D229" s="377"/>
      <c r="E229" s="377"/>
      <c r="F229" s="377"/>
      <c r="G229" s="377"/>
      <c r="H229" s="377"/>
      <c r="I229" s="377"/>
      <c r="J229" s="377"/>
      <c r="K229" s="377"/>
      <c r="L229" s="377"/>
      <c r="M229" s="377"/>
      <c r="N229" s="377"/>
      <c r="O229" s="377"/>
      <c r="P229" s="377"/>
    </row>
    <row r="230" spans="1:16" ht="12.75">
      <c r="A230" s="377"/>
      <c r="B230" s="377"/>
      <c r="C230" s="377"/>
      <c r="D230" s="377"/>
      <c r="E230" s="377"/>
      <c r="F230" s="377"/>
      <c r="G230" s="377"/>
      <c r="H230" s="377"/>
      <c r="I230" s="377"/>
      <c r="J230" s="377"/>
      <c r="K230" s="377"/>
      <c r="L230" s="377"/>
      <c r="M230" s="377"/>
      <c r="N230" s="377"/>
      <c r="O230" s="377"/>
      <c r="P230" s="377"/>
    </row>
    <row r="231" spans="1:16" ht="12.75">
      <c r="A231" s="377"/>
      <c r="B231" s="377"/>
      <c r="C231" s="377"/>
      <c r="D231" s="377"/>
      <c r="E231" s="377"/>
      <c r="F231" s="377"/>
      <c r="G231" s="377"/>
      <c r="H231" s="377"/>
      <c r="I231" s="377"/>
      <c r="J231" s="377"/>
      <c r="K231" s="377"/>
      <c r="L231" s="377"/>
      <c r="M231" s="377"/>
      <c r="N231" s="377"/>
      <c r="O231" s="377"/>
      <c r="P231" s="377"/>
    </row>
    <row r="232" spans="1:16" ht="12.75">
      <c r="A232" s="377"/>
      <c r="B232" s="377"/>
      <c r="C232" s="377"/>
      <c r="D232" s="377"/>
      <c r="E232" s="377"/>
      <c r="F232" s="377"/>
      <c r="G232" s="377"/>
      <c r="H232" s="377"/>
      <c r="I232" s="377"/>
      <c r="J232" s="377"/>
      <c r="K232" s="377"/>
      <c r="L232" s="377"/>
      <c r="M232" s="377"/>
      <c r="N232" s="377"/>
      <c r="O232" s="377"/>
      <c r="P232" s="377"/>
    </row>
    <row r="233" spans="1:16" ht="12.75">
      <c r="A233" s="377"/>
      <c r="B233" s="377"/>
      <c r="C233" s="377"/>
      <c r="D233" s="377"/>
      <c r="E233" s="377"/>
      <c r="F233" s="377"/>
      <c r="G233" s="377"/>
      <c r="H233" s="377"/>
      <c r="I233" s="377"/>
      <c r="J233" s="377"/>
      <c r="K233" s="377"/>
      <c r="L233" s="377"/>
      <c r="M233" s="377"/>
      <c r="N233" s="377"/>
      <c r="O233" s="377"/>
      <c r="P233" s="377"/>
    </row>
    <row r="234" spans="1:16" ht="12.75">
      <c r="A234" s="377"/>
      <c r="B234" s="377"/>
      <c r="C234" s="377"/>
      <c r="D234" s="377"/>
      <c r="E234" s="377"/>
      <c r="F234" s="377"/>
      <c r="G234" s="377"/>
      <c r="H234" s="377"/>
      <c r="I234" s="377"/>
      <c r="J234" s="377"/>
      <c r="K234" s="377"/>
      <c r="L234" s="377"/>
      <c r="M234" s="377"/>
      <c r="N234" s="377"/>
      <c r="O234" s="377"/>
      <c r="P234" s="377"/>
    </row>
    <row r="235" spans="1:16" ht="12.75">
      <c r="A235" s="377"/>
      <c r="B235" s="377"/>
      <c r="C235" s="377"/>
      <c r="D235" s="377"/>
      <c r="E235" s="377"/>
      <c r="F235" s="377"/>
      <c r="G235" s="377"/>
      <c r="H235" s="377"/>
      <c r="I235" s="377"/>
      <c r="J235" s="377"/>
      <c r="K235" s="377"/>
      <c r="L235" s="377"/>
      <c r="M235" s="377"/>
      <c r="N235" s="377"/>
      <c r="O235" s="377"/>
      <c r="P235" s="377"/>
    </row>
    <row r="236" spans="1:16" ht="12.75">
      <c r="A236" s="377"/>
      <c r="B236" s="377"/>
      <c r="C236" s="377"/>
      <c r="D236" s="377"/>
      <c r="E236" s="377"/>
      <c r="F236" s="377"/>
      <c r="G236" s="377"/>
      <c r="H236" s="377"/>
      <c r="I236" s="377"/>
      <c r="J236" s="377"/>
      <c r="K236" s="377"/>
      <c r="L236" s="377"/>
      <c r="M236" s="377"/>
      <c r="N236" s="377"/>
      <c r="O236" s="377"/>
      <c r="P236" s="377"/>
    </row>
    <row r="237" spans="1:16" ht="12.75">
      <c r="A237" s="377"/>
      <c r="B237" s="377"/>
      <c r="C237" s="377"/>
      <c r="D237" s="377"/>
      <c r="E237" s="377"/>
      <c r="F237" s="377"/>
      <c r="G237" s="377"/>
      <c r="H237" s="377"/>
      <c r="I237" s="377"/>
      <c r="J237" s="377"/>
      <c r="K237" s="377"/>
      <c r="L237" s="377"/>
      <c r="M237" s="377"/>
      <c r="N237" s="377"/>
      <c r="O237" s="377"/>
      <c r="P237" s="377"/>
    </row>
    <row r="238" spans="1:16" ht="12.75">
      <c r="A238" s="377"/>
      <c r="B238" s="377"/>
      <c r="C238" s="377"/>
      <c r="D238" s="377"/>
      <c r="E238" s="377"/>
      <c r="F238" s="377"/>
      <c r="G238" s="377"/>
      <c r="H238" s="377"/>
      <c r="I238" s="377"/>
      <c r="J238" s="377"/>
      <c r="K238" s="377"/>
      <c r="L238" s="377"/>
      <c r="M238" s="377"/>
      <c r="N238" s="377"/>
      <c r="O238" s="377"/>
      <c r="P238" s="377"/>
    </row>
    <row r="239" spans="1:16" ht="12.75">
      <c r="A239" s="377"/>
      <c r="B239" s="377"/>
      <c r="C239" s="377"/>
      <c r="D239" s="377"/>
      <c r="E239" s="377"/>
      <c r="F239" s="377"/>
      <c r="G239" s="377"/>
      <c r="H239" s="377"/>
      <c r="I239" s="377"/>
      <c r="J239" s="377"/>
      <c r="K239" s="377"/>
      <c r="L239" s="377"/>
      <c r="M239" s="377"/>
      <c r="N239" s="377"/>
      <c r="O239" s="377"/>
      <c r="P239" s="377"/>
    </row>
    <row r="240" spans="1:16" ht="12.75">
      <c r="A240" s="377"/>
      <c r="B240" s="377"/>
      <c r="C240" s="377"/>
      <c r="D240" s="377"/>
      <c r="E240" s="377"/>
      <c r="F240" s="377"/>
      <c r="G240" s="377"/>
      <c r="H240" s="377"/>
      <c r="I240" s="377"/>
      <c r="J240" s="377"/>
      <c r="K240" s="377"/>
      <c r="L240" s="377"/>
      <c r="M240" s="377"/>
      <c r="N240" s="377"/>
      <c r="O240" s="377"/>
      <c r="P240" s="377"/>
    </row>
    <row r="241" spans="1:16" ht="12.75">
      <c r="A241" s="377"/>
      <c r="B241" s="377"/>
      <c r="C241" s="377"/>
      <c r="D241" s="377"/>
      <c r="E241" s="377"/>
      <c r="F241" s="377"/>
      <c r="G241" s="377"/>
      <c r="H241" s="377"/>
      <c r="I241" s="377"/>
      <c r="J241" s="377"/>
      <c r="K241" s="377"/>
      <c r="L241" s="377"/>
      <c r="M241" s="377"/>
      <c r="N241" s="377"/>
      <c r="O241" s="377"/>
      <c r="P241" s="377"/>
    </row>
    <row r="242" spans="1:16" ht="12.75">
      <c r="A242" s="377"/>
      <c r="B242" s="377"/>
      <c r="C242" s="377"/>
      <c r="D242" s="377"/>
      <c r="E242" s="377"/>
      <c r="F242" s="377"/>
      <c r="G242" s="377"/>
      <c r="H242" s="377"/>
      <c r="I242" s="377"/>
      <c r="J242" s="377"/>
      <c r="K242" s="377"/>
      <c r="L242" s="377"/>
      <c r="M242" s="377"/>
      <c r="N242" s="377"/>
      <c r="O242" s="377"/>
      <c r="P242" s="377"/>
    </row>
    <row r="243" spans="1:16" ht="12.75">
      <c r="A243" s="377"/>
      <c r="B243" s="377"/>
      <c r="C243" s="377"/>
      <c r="D243" s="377"/>
      <c r="E243" s="377"/>
      <c r="F243" s="377"/>
      <c r="G243" s="377"/>
      <c r="H243" s="377"/>
      <c r="I243" s="377"/>
      <c r="J243" s="377"/>
      <c r="K243" s="377"/>
      <c r="L243" s="377"/>
      <c r="M243" s="377"/>
      <c r="N243" s="377"/>
      <c r="O243" s="377"/>
      <c r="P243" s="377"/>
    </row>
    <row r="244" spans="1:16" ht="12.75">
      <c r="A244" s="377"/>
      <c r="B244" s="377"/>
      <c r="C244" s="377"/>
      <c r="D244" s="377"/>
      <c r="E244" s="377"/>
      <c r="F244" s="377"/>
      <c r="G244" s="377"/>
      <c r="H244" s="377"/>
      <c r="I244" s="377"/>
      <c r="J244" s="377"/>
      <c r="K244" s="377"/>
      <c r="L244" s="377"/>
      <c r="M244" s="377"/>
      <c r="N244" s="377"/>
      <c r="O244" s="377"/>
      <c r="P244" s="377"/>
    </row>
    <row r="245" spans="1:16" ht="12.75">
      <c r="A245" s="377"/>
      <c r="B245" s="377"/>
      <c r="C245" s="377"/>
      <c r="D245" s="377"/>
      <c r="E245" s="377"/>
      <c r="F245" s="377"/>
      <c r="G245" s="377"/>
      <c r="H245" s="377"/>
      <c r="I245" s="377"/>
      <c r="J245" s="377"/>
      <c r="K245" s="377"/>
      <c r="L245" s="377"/>
      <c r="M245" s="377"/>
      <c r="N245" s="377"/>
      <c r="O245" s="377"/>
      <c r="P245" s="377"/>
    </row>
    <row r="246" spans="1:16" ht="12.75">
      <c r="A246" s="377"/>
      <c r="B246" s="377"/>
      <c r="C246" s="377"/>
      <c r="D246" s="377"/>
      <c r="E246" s="377"/>
      <c r="F246" s="377"/>
      <c r="G246" s="377"/>
      <c r="H246" s="377"/>
      <c r="I246" s="377"/>
      <c r="J246" s="377"/>
      <c r="K246" s="377"/>
      <c r="L246" s="377"/>
      <c r="M246" s="377"/>
      <c r="N246" s="377"/>
      <c r="O246" s="377"/>
      <c r="P246" s="377"/>
    </row>
    <row r="247" spans="1:16" ht="12.75">
      <c r="A247" s="377"/>
      <c r="B247" s="377"/>
      <c r="C247" s="377"/>
      <c r="D247" s="377"/>
      <c r="E247" s="377"/>
      <c r="F247" s="377"/>
      <c r="G247" s="377"/>
      <c r="H247" s="377"/>
      <c r="I247" s="377"/>
      <c r="J247" s="377"/>
      <c r="K247" s="377"/>
      <c r="L247" s="377"/>
      <c r="M247" s="377"/>
      <c r="N247" s="377"/>
      <c r="O247" s="377"/>
      <c r="P247" s="377"/>
    </row>
    <row r="248" spans="1:16" ht="12.75">
      <c r="A248" s="377"/>
      <c r="B248" s="377"/>
      <c r="C248" s="377"/>
      <c r="D248" s="377"/>
      <c r="E248" s="377"/>
      <c r="F248" s="377"/>
      <c r="G248" s="377"/>
      <c r="H248" s="377"/>
      <c r="I248" s="377"/>
      <c r="J248" s="377"/>
      <c r="K248" s="377"/>
      <c r="L248" s="377"/>
      <c r="M248" s="377"/>
      <c r="N248" s="377"/>
      <c r="O248" s="377"/>
      <c r="P248" s="377"/>
    </row>
    <row r="249" spans="1:16" ht="12.75">
      <c r="A249" s="377"/>
      <c r="B249" s="377"/>
      <c r="C249" s="377"/>
      <c r="D249" s="377"/>
      <c r="E249" s="377"/>
      <c r="F249" s="377"/>
      <c r="G249" s="377"/>
      <c r="H249" s="377"/>
      <c r="I249" s="377"/>
      <c r="J249" s="377"/>
      <c r="K249" s="377"/>
      <c r="L249" s="377"/>
      <c r="M249" s="377"/>
      <c r="N249" s="377"/>
      <c r="O249" s="377"/>
      <c r="P249" s="377"/>
    </row>
    <row r="250" spans="1:16" ht="12.75">
      <c r="A250" s="377"/>
      <c r="B250" s="377"/>
      <c r="C250" s="377"/>
      <c r="D250" s="377"/>
      <c r="E250" s="377"/>
      <c r="F250" s="377"/>
      <c r="G250" s="377"/>
      <c r="H250" s="377"/>
      <c r="I250" s="377"/>
      <c r="J250" s="377"/>
      <c r="K250" s="377"/>
      <c r="L250" s="377"/>
      <c r="M250" s="377"/>
      <c r="N250" s="377"/>
      <c r="O250" s="377"/>
      <c r="P250" s="377"/>
    </row>
    <row r="251" spans="1:16" ht="12.75">
      <c r="A251" s="377"/>
      <c r="B251" s="377"/>
      <c r="C251" s="377"/>
      <c r="D251" s="377"/>
      <c r="E251" s="377"/>
      <c r="F251" s="377"/>
      <c r="G251" s="377"/>
      <c r="H251" s="377"/>
      <c r="I251" s="377"/>
      <c r="J251" s="377"/>
      <c r="K251" s="377"/>
      <c r="L251" s="377"/>
      <c r="M251" s="377"/>
      <c r="N251" s="377"/>
      <c r="O251" s="377"/>
      <c r="P251" s="377"/>
    </row>
    <row r="252" spans="1:16" ht="12.75">
      <c r="A252" s="377"/>
      <c r="B252" s="377"/>
      <c r="C252" s="377"/>
      <c r="D252" s="377"/>
      <c r="E252" s="377"/>
      <c r="F252" s="377"/>
      <c r="G252" s="377"/>
      <c r="H252" s="377"/>
      <c r="I252" s="377"/>
      <c r="J252" s="377"/>
      <c r="K252" s="377"/>
      <c r="L252" s="377"/>
      <c r="M252" s="377"/>
      <c r="N252" s="377"/>
      <c r="O252" s="377"/>
      <c r="P252" s="377"/>
    </row>
    <row r="253" spans="1:16" ht="12.75">
      <c r="A253" s="377"/>
      <c r="B253" s="377"/>
      <c r="C253" s="377"/>
      <c r="D253" s="377"/>
      <c r="E253" s="377"/>
      <c r="F253" s="377"/>
      <c r="G253" s="377"/>
      <c r="H253" s="377"/>
      <c r="I253" s="377"/>
      <c r="J253" s="377"/>
      <c r="K253" s="377"/>
      <c r="L253" s="377"/>
      <c r="M253" s="377"/>
      <c r="N253" s="377"/>
      <c r="O253" s="377"/>
      <c r="P253" s="377"/>
    </row>
    <row r="254" spans="1:16" ht="12.75">
      <c r="A254" s="377"/>
      <c r="B254" s="377"/>
      <c r="C254" s="377"/>
      <c r="D254" s="377"/>
      <c r="E254" s="377"/>
      <c r="F254" s="377"/>
      <c r="G254" s="377"/>
      <c r="H254" s="377"/>
      <c r="I254" s="377"/>
      <c r="J254" s="377"/>
      <c r="K254" s="377"/>
      <c r="L254" s="377"/>
      <c r="M254" s="377"/>
      <c r="N254" s="377"/>
      <c r="O254" s="377"/>
      <c r="P254" s="377"/>
    </row>
    <row r="255" spans="1:16" ht="12.75">
      <c r="A255" s="377"/>
      <c r="B255" s="377"/>
      <c r="C255" s="377"/>
      <c r="D255" s="377"/>
      <c r="E255" s="377"/>
      <c r="F255" s="377"/>
      <c r="G255" s="377"/>
      <c r="H255" s="377"/>
      <c r="I255" s="377"/>
      <c r="J255" s="377"/>
      <c r="K255" s="377"/>
      <c r="L255" s="377"/>
      <c r="M255" s="377"/>
      <c r="N255" s="377"/>
      <c r="O255" s="377"/>
      <c r="P255" s="377"/>
    </row>
    <row r="256" spans="1:16" ht="12.75">
      <c r="A256" s="377"/>
      <c r="B256" s="377"/>
      <c r="C256" s="377"/>
      <c r="D256" s="377"/>
      <c r="E256" s="377"/>
      <c r="F256" s="377"/>
      <c r="G256" s="377"/>
      <c r="H256" s="377"/>
      <c r="I256" s="377"/>
      <c r="J256" s="377"/>
      <c r="K256" s="377"/>
      <c r="L256" s="377"/>
      <c r="M256" s="377"/>
      <c r="N256" s="377"/>
      <c r="O256" s="377"/>
      <c r="P256" s="377"/>
    </row>
    <row r="257" spans="1:16" ht="12.75">
      <c r="A257" s="377"/>
      <c r="B257" s="377"/>
      <c r="C257" s="377"/>
      <c r="D257" s="377"/>
      <c r="E257" s="377"/>
      <c r="F257" s="377"/>
      <c r="G257" s="377"/>
      <c r="H257" s="377"/>
      <c r="I257" s="377"/>
      <c r="J257" s="377"/>
      <c r="K257" s="377"/>
      <c r="L257" s="377"/>
      <c r="M257" s="377"/>
      <c r="N257" s="377"/>
      <c r="O257" s="377"/>
      <c r="P257" s="377"/>
    </row>
    <row r="258" spans="1:16" ht="12.75">
      <c r="A258" s="377"/>
      <c r="B258" s="377"/>
      <c r="C258" s="377"/>
      <c r="D258" s="377"/>
      <c r="E258" s="377"/>
      <c r="F258" s="377"/>
      <c r="G258" s="377"/>
      <c r="H258" s="377"/>
      <c r="I258" s="377"/>
      <c r="J258" s="377"/>
      <c r="K258" s="377"/>
      <c r="L258" s="377"/>
      <c r="M258" s="377"/>
      <c r="N258" s="377"/>
      <c r="O258" s="377"/>
      <c r="P258" s="377"/>
    </row>
  </sheetData>
  <sheetProtection/>
  <mergeCells count="7">
    <mergeCell ref="A1:Q1"/>
    <mergeCell ref="A182:P182"/>
    <mergeCell ref="A184:P184"/>
    <mergeCell ref="R7:V7"/>
    <mergeCell ref="A2:L2"/>
    <mergeCell ref="A3:L3"/>
    <mergeCell ref="A4:L4"/>
  </mergeCells>
  <printOptions horizontalCentered="1"/>
  <pageMargins left="0.5511811023622047" right="0.2362204724409449" top="0.2" bottom="0.23" header="0.17" footer="0"/>
  <pageSetup fitToHeight="1" fitToWidth="1" horizontalDpi="300" verticalDpi="300" orientation="portrait" scale="58" r:id="rId1"/>
  <colBreaks count="1" manualBreakCount="1">
    <brk id="17" max="183" man="1"/>
  </colBreaks>
</worksheet>
</file>

<file path=xl/worksheets/sheet9.xml><?xml version="1.0" encoding="utf-8"?>
<worksheet xmlns="http://schemas.openxmlformats.org/spreadsheetml/2006/main" xmlns:r="http://schemas.openxmlformats.org/officeDocument/2006/relationships">
  <dimension ref="B9:L22"/>
  <sheetViews>
    <sheetView view="pageBreakPreview" zoomScaleSheetLayoutView="100" zoomScalePageLayoutView="0" workbookViewId="0" topLeftCell="A1">
      <selection activeCell="K22" sqref="A1:K22"/>
    </sheetView>
  </sheetViews>
  <sheetFormatPr defaultColWidth="11.421875" defaultRowHeight="12.75"/>
  <cols>
    <col min="1" max="1" width="17.7109375" style="586" customWidth="1"/>
    <col min="2" max="5" width="11.421875" style="586" customWidth="1"/>
    <col min="6" max="6" width="2.28125" style="586" customWidth="1"/>
    <col min="7" max="7" width="11.421875" style="586" customWidth="1"/>
    <col min="8" max="8" width="7.57421875" style="586" customWidth="1"/>
    <col min="9" max="9" width="22.00390625" style="586" customWidth="1"/>
    <col min="10" max="10" width="11.421875" style="586" customWidth="1"/>
    <col min="11" max="11" width="14.8515625" style="586" bestFit="1" customWidth="1"/>
    <col min="12" max="12" width="17.57421875" style="586" customWidth="1"/>
    <col min="13" max="16384" width="11.421875" style="586" customWidth="1"/>
  </cols>
  <sheetData>
    <row r="8" ht="13.5" thickBot="1"/>
    <row r="9" spans="2:9" ht="15.75" thickBot="1">
      <c r="B9" s="1363" t="s">
        <v>666</v>
      </c>
      <c r="C9" s="1364"/>
      <c r="D9" s="1364"/>
      <c r="E9" s="1364"/>
      <c r="F9" s="1364"/>
      <c r="G9" s="1364"/>
      <c r="H9" s="1364"/>
      <c r="I9" s="1365"/>
    </row>
    <row r="11" ht="13.5" thickBot="1"/>
    <row r="12" spans="2:9" ht="15.75">
      <c r="B12" s="1366" t="s">
        <v>570</v>
      </c>
      <c r="C12" s="1367"/>
      <c r="D12" s="1367"/>
      <c r="E12" s="1367"/>
      <c r="F12" s="1367"/>
      <c r="G12" s="1368"/>
      <c r="I12" s="651">
        <f>+'Ejecución ingresos 2010'!F40</f>
        <v>9358374538.98729</v>
      </c>
    </row>
    <row r="13" spans="2:12" ht="15.75">
      <c r="B13" s="1369" t="s">
        <v>575</v>
      </c>
      <c r="C13" s="1370"/>
      <c r="D13" s="1370"/>
      <c r="E13" s="1370"/>
      <c r="F13" s="1370"/>
      <c r="G13" s="1371"/>
      <c r="I13" s="652">
        <f>+'Ejecución gastos 2010'!Q182</f>
        <v>8609912902.063921</v>
      </c>
      <c r="K13" s="950"/>
      <c r="L13" s="951"/>
    </row>
    <row r="14" spans="2:12" ht="16.5" thickBot="1">
      <c r="B14" s="1360" t="s">
        <v>571</v>
      </c>
      <c r="C14" s="1361"/>
      <c r="D14" s="1361"/>
      <c r="E14" s="1361"/>
      <c r="F14" s="1361"/>
      <c r="G14" s="1362"/>
      <c r="I14" s="653">
        <f>+(I12-I13)</f>
        <v>748461636.9233685</v>
      </c>
      <c r="J14" s="900"/>
      <c r="K14" s="950"/>
      <c r="L14" s="951"/>
    </row>
    <row r="15" spans="2:12" ht="15">
      <c r="B15" s="644"/>
      <c r="C15" s="644"/>
      <c r="D15" s="644"/>
      <c r="E15" s="644"/>
      <c r="F15" s="644"/>
      <c r="G15" s="644"/>
      <c r="K15" s="952"/>
      <c r="L15" s="953"/>
    </row>
    <row r="16" spans="2:12" ht="15.75" thickBot="1">
      <c r="B16" s="644"/>
      <c r="C16" s="644"/>
      <c r="D16" s="644"/>
      <c r="E16" s="644"/>
      <c r="F16" s="644"/>
      <c r="G16" s="644"/>
      <c r="K16" s="952"/>
      <c r="L16" s="953"/>
    </row>
    <row r="17" spans="2:9" ht="15.75">
      <c r="B17" s="1366" t="s">
        <v>573</v>
      </c>
      <c r="C17" s="1367"/>
      <c r="D17" s="1367"/>
      <c r="E17" s="1367"/>
      <c r="F17" s="1367"/>
      <c r="G17" s="1368"/>
      <c r="I17" s="651">
        <f>+'Ejecución ingresos 2010'!F42</f>
        <v>6333265121.321428</v>
      </c>
    </row>
    <row r="18" spans="2:9" ht="15.75">
      <c r="B18" s="1369" t="s">
        <v>574</v>
      </c>
      <c r="C18" s="1370"/>
      <c r="D18" s="1370"/>
      <c r="E18" s="1370"/>
      <c r="F18" s="1370"/>
      <c r="G18" s="1371"/>
      <c r="I18" s="652">
        <f>+'Ejecución gastos 2010'!Q184</f>
        <v>5708589698.774534</v>
      </c>
    </row>
    <row r="19" spans="2:9" ht="16.5" thickBot="1">
      <c r="B19" s="1360" t="s">
        <v>572</v>
      </c>
      <c r="C19" s="1361"/>
      <c r="D19" s="1361"/>
      <c r="E19" s="1361"/>
      <c r="F19" s="1361"/>
      <c r="G19" s="1362"/>
      <c r="I19" s="653">
        <f>+I17-I18</f>
        <v>624675422.5468941</v>
      </c>
    </row>
    <row r="22" spans="2:9" ht="16.5" thickBot="1">
      <c r="B22" s="1360" t="s">
        <v>683</v>
      </c>
      <c r="C22" s="1361"/>
      <c r="D22" s="1361"/>
      <c r="E22" s="1361"/>
      <c r="F22" s="1361"/>
      <c r="G22" s="1362"/>
      <c r="I22" s="653">
        <f>+I19+I14</f>
        <v>1373137059.4702625</v>
      </c>
    </row>
  </sheetData>
  <sheetProtection/>
  <mergeCells count="8">
    <mergeCell ref="B14:G14"/>
    <mergeCell ref="B22:G22"/>
    <mergeCell ref="B19:G19"/>
    <mergeCell ref="B9:I9"/>
    <mergeCell ref="B12:G12"/>
    <mergeCell ref="B13:G13"/>
    <mergeCell ref="B17:G17"/>
    <mergeCell ref="B18:G18"/>
  </mergeCells>
  <printOptions horizontalCentered="1" verticalCentered="1"/>
  <pageMargins left="0.1968503937007874" right="0.2362204724409449" top="0.38"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2011-01-31T20:06:03Z</cp:lastPrinted>
  <dcterms:created xsi:type="dcterms:W3CDTF">2004-09-15T00:05:45Z</dcterms:created>
  <dcterms:modified xsi:type="dcterms:W3CDTF">2019-10-16T20:45:10Z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