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7\Ingreso\"/>
    </mc:Choice>
  </mc:AlternateContent>
  <bookViews>
    <workbookView xWindow="0" yWindow="0" windowWidth="24000" windowHeight="9435"/>
  </bookViews>
  <sheets>
    <sheet name="INGRE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'[3]Anexo 1 Minagricultura'!#REF!</definedName>
    <definedName name="CABEZAS_PROYEC" localSheetId="0">INGRESO!#REF!</definedName>
    <definedName name="CABEZAS_PROYEC">'[4]Anexo 1 Minagricultura'!#REF!</definedName>
    <definedName name="CONTRATOS">#REF!</definedName>
    <definedName name="CUOTAPPC2005" localSheetId="0">INGRESO!$B$14</definedName>
    <definedName name="CUOTAPPC2005">'[4]Anexo 1 Minagricultura'!#REF!</definedName>
    <definedName name="CUOTAPPC2013">'[5]Anexo 1 Minagricultura'!#REF!</definedName>
    <definedName name="CUOTAPPC203">'[5]Anexo 1 Minagricultura'!#REF!</definedName>
    <definedName name="DIAG_PPC">'[2]Inversión total en programas'!$B$86</definedName>
    <definedName name="DIRECCION">[6]consecutivo!$M$9:$M$13</definedName>
    <definedName name="DISTRIBUIDOR">#REF!</definedName>
    <definedName name="Dólar">#REF!</definedName>
    <definedName name="eeeee">#REF!</definedName>
    <definedName name="EPPC" localSheetId="0">INGRESO!#REF!</definedName>
    <definedName name="EPPC">'[4]Anexo 1 Minagricultura'!#REF!</definedName>
    <definedName name="Euro">#REF!</definedName>
    <definedName name="FDGFDG" localSheetId="0">#REF!</definedName>
    <definedName name="FDGFDG">#REF!</definedName>
    <definedName name="FECHA_DE_RECIBIDO">[7]BASE!$E$3:$E$177</definedName>
    <definedName name="FOMENTO" localSheetId="0">INGRESO!#REF!</definedName>
    <definedName name="FOMENTO">'[4]Anexo 1 Minagricultura'!#REF!</definedName>
    <definedName name="FOMENTOS">'[8]Anexo 1 Minagricultura'!$C$51</definedName>
    <definedName name="fondo">#REF!</definedName>
    <definedName name="GTOSEPPC">'[2]Inversión total en programas'!$C$35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'[9]Inversión total en programas'!$B$86</definedName>
    <definedName name="RESERV_FUTU">#REF!</definedName>
    <definedName name="saldo">#REF!</definedName>
    <definedName name="saldos">#REF!</definedName>
    <definedName name="SUPERA2004" localSheetId="0">INGRESO!#REF!</definedName>
    <definedName name="SUPERA2004">'[4]Anexo 1 Minagricultura'!#REF!</definedName>
    <definedName name="SUPERA2005" localSheetId="0">INGRESO!#REF!</definedName>
    <definedName name="SUPERA2005">'[4]Anexo 1 Minagricultura'!#REF!</definedName>
    <definedName name="SUPERA2010">'[9]Anexo 1 Minagricultura'!$C$21</definedName>
    <definedName name="SUPERA2012">'[5]Anexo 1 Minagricultura'!#REF!</definedName>
    <definedName name="SUPERAVIT">#REF!</definedName>
    <definedName name="SUPERAVIT2005_FNP">#REF!</definedName>
    <definedName name="SUPERAVITPPC_2005">#REF!</definedName>
    <definedName name="TIPOS">#REF!</definedName>
    <definedName name="VTAS2005" localSheetId="0">INGRESO!$B$31</definedName>
    <definedName name="VTAS2005">'[4]Anexo 1 Minagricultura'!#REF!</definedName>
    <definedName name="xx">[10]Ingresos!$C$19</definedName>
    <definedName name="Z_4099E833_BB74_4680_85C9_A6CF399D1CE2_.wvu.Cols" localSheetId="0" hidden="1">'[3]Nómina 2004'!$C$1:$E$65536,'[3]Nómina 2004'!$H$1:$I$65536,'[3]Nómina 2004'!$L$1:$P$65536,'[3]Nómina 2004'!$AF$1:$AH$65536</definedName>
    <definedName name="Z_4099E833_BB74_4680_85C9_A6CF399D1CE2_.wvu.Cols" hidden="1">'[4]Nómina 2004'!$C$1:$E$65536,'[4]Nómina 2004'!$H$1:$I$65536,'[4]Nómina 2004'!$L$1:$P$65536,'[4]Nómina 2004'!$AF$1:$AH$65536</definedName>
    <definedName name="Z_4099E833_BB74_4680_85C9_A6CF399D1CE2_.wvu.FilterData" hidden="1">#REF!</definedName>
    <definedName name="Z_4099E833_BB74_4680_85C9_A6CF399D1CE2_.wvu.PrintArea" localSheetId="0" hidden="1">INGRESO!$A$1:$B$37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localSheetId="0" hidden="1">'[3]Inversión total en programas'!$A$50:$IV$50,'[3]Inversión total en programas'!$A$60:$IV$63</definedName>
    <definedName name="Z_4099E833_BB74_4680_85C9_A6CF399D1CE2_.wvu.Rows" hidden="1">'[4]Inversión total en programas'!$A$50:$IV$50,'[4]Inversión total en programas'!$A$60:$IV$63</definedName>
    <definedName name="ZFRONTERA">'[11]Ingresos 2014'!#REF!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H44" i="1"/>
  <c r="X43" i="1"/>
  <c r="W43" i="1"/>
  <c r="V43" i="1"/>
  <c r="U43" i="1"/>
  <c r="Y43" i="1" s="1"/>
  <c r="S43" i="1"/>
  <c r="Q43" i="1"/>
  <c r="P43" i="1"/>
  <c r="N43" i="1"/>
  <c r="M43" i="1"/>
  <c r="K43" i="1"/>
  <c r="J43" i="1"/>
  <c r="H43" i="1"/>
  <c r="G43" i="1"/>
  <c r="B43" i="1"/>
  <c r="Q42" i="1"/>
  <c r="Q44" i="1" s="1"/>
  <c r="N42" i="1"/>
  <c r="N44" i="1" s="1"/>
  <c r="K42" i="1"/>
  <c r="H42" i="1"/>
  <c r="B42" i="1"/>
  <c r="B44" i="1" s="1"/>
  <c r="Q41" i="1"/>
  <c r="B41" i="1"/>
  <c r="X40" i="1"/>
  <c r="W40" i="1"/>
  <c r="Y40" i="1" s="1"/>
  <c r="V40" i="1"/>
  <c r="U40" i="1"/>
  <c r="S40" i="1"/>
  <c r="Q40" i="1"/>
  <c r="P40" i="1"/>
  <c r="N40" i="1"/>
  <c r="M40" i="1"/>
  <c r="K40" i="1"/>
  <c r="J40" i="1"/>
  <c r="H40" i="1"/>
  <c r="G40" i="1"/>
  <c r="B40" i="1"/>
  <c r="V39" i="1"/>
  <c r="V41" i="1" s="1"/>
  <c r="Q39" i="1"/>
  <c r="N39" i="1"/>
  <c r="N41" i="1" s="1"/>
  <c r="K39" i="1"/>
  <c r="K41" i="1" s="1"/>
  <c r="H39" i="1"/>
  <c r="H41" i="1" s="1"/>
  <c r="B39" i="1"/>
  <c r="X35" i="1"/>
  <c r="R35" i="1" s="1"/>
  <c r="S35" i="1" s="1"/>
  <c r="W35" i="1"/>
  <c r="W30" i="1" s="1"/>
  <c r="U35" i="1"/>
  <c r="P35" i="1"/>
  <c r="M35" i="1"/>
  <c r="E35" i="1"/>
  <c r="E30" i="1" s="1"/>
  <c r="D35" i="1"/>
  <c r="X34" i="1"/>
  <c r="R34" i="1" s="1"/>
  <c r="S34" i="1" s="1"/>
  <c r="W34" i="1"/>
  <c r="U34" i="1"/>
  <c r="Y34" i="1" s="1"/>
  <c r="P34" i="1"/>
  <c r="M34" i="1"/>
  <c r="G34" i="1"/>
  <c r="X33" i="1"/>
  <c r="W33" i="1"/>
  <c r="U33" i="1"/>
  <c r="Y33" i="1" s="1"/>
  <c r="Z33" i="1" s="1"/>
  <c r="S33" i="1"/>
  <c r="R33" i="1"/>
  <c r="P33" i="1"/>
  <c r="M33" i="1"/>
  <c r="G33" i="1"/>
  <c r="Y32" i="1"/>
  <c r="X32" i="1"/>
  <c r="W32" i="1"/>
  <c r="U32" i="1"/>
  <c r="I32" i="1" s="1"/>
  <c r="J32" i="1" s="1"/>
  <c r="R32" i="1"/>
  <c r="S32" i="1" s="1"/>
  <c r="P32" i="1"/>
  <c r="P30" i="1" s="1"/>
  <c r="M32" i="1"/>
  <c r="T32" i="1" s="1"/>
  <c r="G32" i="1"/>
  <c r="X31" i="1"/>
  <c r="P31" i="1"/>
  <c r="M31" i="1"/>
  <c r="M30" i="1" s="1"/>
  <c r="I31" i="1"/>
  <c r="G31" i="1"/>
  <c r="V30" i="1"/>
  <c r="Q30" i="1"/>
  <c r="O30" i="1"/>
  <c r="N30" i="1"/>
  <c r="L30" i="1"/>
  <c r="K30" i="1"/>
  <c r="K24" i="1" s="1"/>
  <c r="K37" i="1" s="1"/>
  <c r="H30" i="1"/>
  <c r="D30" i="1"/>
  <c r="C30" i="1"/>
  <c r="B30" i="1"/>
  <c r="B24" i="1" s="1"/>
  <c r="X28" i="1"/>
  <c r="W28" i="1"/>
  <c r="V28" i="1"/>
  <c r="U28" i="1"/>
  <c r="I28" i="1" s="1"/>
  <c r="J28" i="1" s="1"/>
  <c r="O28" i="1"/>
  <c r="P28" i="1" s="1"/>
  <c r="P42" i="1" s="1"/>
  <c r="P44" i="1" s="1"/>
  <c r="M28" i="1"/>
  <c r="G28" i="1"/>
  <c r="X27" i="1"/>
  <c r="R27" i="1" s="1"/>
  <c r="W27" i="1"/>
  <c r="W26" i="1" s="1"/>
  <c r="V27" i="1"/>
  <c r="V26" i="1" s="1"/>
  <c r="V24" i="1" s="1"/>
  <c r="U27" i="1"/>
  <c r="Y27" i="1" s="1"/>
  <c r="M27" i="1"/>
  <c r="M26" i="1" s="1"/>
  <c r="G27" i="1"/>
  <c r="Q26" i="1"/>
  <c r="Q24" i="1" s="1"/>
  <c r="N26" i="1"/>
  <c r="N24" i="1" s="1"/>
  <c r="L26" i="1"/>
  <c r="K26" i="1"/>
  <c r="H26" i="1"/>
  <c r="H24" i="1" s="1"/>
  <c r="G26" i="1"/>
  <c r="E26" i="1"/>
  <c r="D26" i="1"/>
  <c r="D24" i="1" s="1"/>
  <c r="D37" i="1" s="1"/>
  <c r="C26" i="1"/>
  <c r="B26" i="1"/>
  <c r="Y22" i="1"/>
  <c r="Y20" i="1" s="1"/>
  <c r="T22" i="1"/>
  <c r="S22" i="1"/>
  <c r="P22" i="1"/>
  <c r="M22" i="1"/>
  <c r="J22" i="1"/>
  <c r="C22" i="1"/>
  <c r="G22" i="1" s="1"/>
  <c r="Z21" i="1"/>
  <c r="Y21" i="1"/>
  <c r="S21" i="1"/>
  <c r="P21" i="1"/>
  <c r="P20" i="1" s="1"/>
  <c r="M21" i="1"/>
  <c r="J21" i="1"/>
  <c r="T21" i="1" s="1"/>
  <c r="T20" i="1" s="1"/>
  <c r="G21" i="1"/>
  <c r="X20" i="1"/>
  <c r="W20" i="1"/>
  <c r="V20" i="1"/>
  <c r="U20" i="1"/>
  <c r="S20" i="1"/>
  <c r="R20" i="1"/>
  <c r="Q20" i="1"/>
  <c r="O20" i="1"/>
  <c r="N20" i="1"/>
  <c r="M20" i="1"/>
  <c r="L20" i="1"/>
  <c r="K20" i="1"/>
  <c r="J20" i="1"/>
  <c r="I20" i="1"/>
  <c r="H20" i="1"/>
  <c r="F20" i="1"/>
  <c r="F10" i="1" s="1"/>
  <c r="F37" i="1" s="1"/>
  <c r="E20" i="1"/>
  <c r="D20" i="1"/>
  <c r="C20" i="1"/>
  <c r="B20" i="1"/>
  <c r="B10" i="1" s="1"/>
  <c r="AA18" i="1"/>
  <c r="Y18" i="1"/>
  <c r="Z18" i="1" s="1"/>
  <c r="R18" i="1"/>
  <c r="S18" i="1" s="1"/>
  <c r="P18" i="1"/>
  <c r="P16" i="1" s="1"/>
  <c r="M18" i="1"/>
  <c r="M16" i="1" s="1"/>
  <c r="J18" i="1"/>
  <c r="I18" i="1"/>
  <c r="G18" i="1"/>
  <c r="Y17" i="1"/>
  <c r="AA17" i="1" s="1"/>
  <c r="R17" i="1"/>
  <c r="P17" i="1"/>
  <c r="M17" i="1"/>
  <c r="I17" i="1"/>
  <c r="J17" i="1" s="1"/>
  <c r="G17" i="1"/>
  <c r="G16" i="1" s="1"/>
  <c r="Y16" i="1"/>
  <c r="X16" i="1"/>
  <c r="W16" i="1"/>
  <c r="V16" i="1"/>
  <c r="U16" i="1"/>
  <c r="Q16" i="1"/>
  <c r="O16" i="1"/>
  <c r="N16" i="1"/>
  <c r="L16" i="1"/>
  <c r="K16" i="1"/>
  <c r="I16" i="1"/>
  <c r="H16" i="1"/>
  <c r="E16" i="1"/>
  <c r="D16" i="1"/>
  <c r="C16" i="1"/>
  <c r="B16" i="1"/>
  <c r="X14" i="1"/>
  <c r="W14" i="1"/>
  <c r="V14" i="1"/>
  <c r="U14" i="1"/>
  <c r="R14" i="1"/>
  <c r="S14" i="1" s="1"/>
  <c r="P14" i="1"/>
  <c r="M14" i="1"/>
  <c r="J14" i="1"/>
  <c r="G14" i="1"/>
  <c r="X13" i="1"/>
  <c r="R13" i="1" s="1"/>
  <c r="W13" i="1"/>
  <c r="V13" i="1"/>
  <c r="U13" i="1"/>
  <c r="P13" i="1"/>
  <c r="M13" i="1"/>
  <c r="M12" i="1" s="1"/>
  <c r="J13" i="1"/>
  <c r="G13" i="1"/>
  <c r="Q12" i="1"/>
  <c r="P12" i="1"/>
  <c r="P10" i="1" s="1"/>
  <c r="O12" i="1"/>
  <c r="N12" i="1"/>
  <c r="L12" i="1"/>
  <c r="K12" i="1"/>
  <c r="K10" i="1" s="1"/>
  <c r="I12" i="1"/>
  <c r="I10" i="1" s="1"/>
  <c r="H12" i="1"/>
  <c r="H10" i="1" s="1"/>
  <c r="G12" i="1"/>
  <c r="E12" i="1"/>
  <c r="D12" i="1"/>
  <c r="C12" i="1"/>
  <c r="B12" i="1"/>
  <c r="O10" i="1"/>
  <c r="L10" i="1"/>
  <c r="D10" i="1"/>
  <c r="C10" i="1"/>
  <c r="J16" i="1" l="1"/>
  <c r="AA27" i="1"/>
  <c r="Z27" i="1"/>
  <c r="Y26" i="1"/>
  <c r="M37" i="1"/>
  <c r="AA34" i="1"/>
  <c r="Z34" i="1"/>
  <c r="Q10" i="1"/>
  <c r="U12" i="1"/>
  <c r="U10" i="1" s="1"/>
  <c r="U39" i="1"/>
  <c r="U41" i="1" s="1"/>
  <c r="Y13" i="1"/>
  <c r="W24" i="1"/>
  <c r="W37" i="1" s="1"/>
  <c r="S17" i="1"/>
  <c r="S16" i="1" s="1"/>
  <c r="R16" i="1"/>
  <c r="Q37" i="1"/>
  <c r="R28" i="1"/>
  <c r="S28" i="1" s="1"/>
  <c r="T28" i="1" s="1"/>
  <c r="X42" i="1"/>
  <c r="X44" i="1" s="1"/>
  <c r="Y28" i="1"/>
  <c r="AA32" i="1"/>
  <c r="Z32" i="1"/>
  <c r="V42" i="1"/>
  <c r="V44" i="1" s="1"/>
  <c r="V12" i="1"/>
  <c r="V10" i="1" s="1"/>
  <c r="V37" i="1" s="1"/>
  <c r="X26" i="1"/>
  <c r="S13" i="1"/>
  <c r="R12" i="1"/>
  <c r="R10" i="1" s="1"/>
  <c r="W42" i="1"/>
  <c r="W44" i="1" s="1"/>
  <c r="W12" i="1"/>
  <c r="W10" i="1" s="1"/>
  <c r="E24" i="1"/>
  <c r="M42" i="1"/>
  <c r="M44" i="1" s="1"/>
  <c r="G42" i="1"/>
  <c r="G44" i="1" s="1"/>
  <c r="AA16" i="1"/>
  <c r="Z16" i="1"/>
  <c r="M24" i="1"/>
  <c r="T14" i="1"/>
  <c r="J12" i="1"/>
  <c r="J10" i="1" s="1"/>
  <c r="T18" i="1"/>
  <c r="Z20" i="1"/>
  <c r="H37" i="1"/>
  <c r="G30" i="1"/>
  <c r="G24" i="1" s="1"/>
  <c r="Y35" i="1"/>
  <c r="I35" i="1"/>
  <c r="J35" i="1" s="1"/>
  <c r="T35" i="1" s="1"/>
  <c r="U30" i="1"/>
  <c r="G20" i="1"/>
  <c r="AA20" i="1" s="1"/>
  <c r="AA21" i="1"/>
  <c r="W39" i="1"/>
  <c r="W41" i="1" s="1"/>
  <c r="G39" i="1"/>
  <c r="G41" i="1" s="1"/>
  <c r="Z22" i="1"/>
  <c r="B37" i="1"/>
  <c r="G35" i="1"/>
  <c r="X39" i="1"/>
  <c r="X41" i="1" s="1"/>
  <c r="AA22" i="1"/>
  <c r="I27" i="1"/>
  <c r="R31" i="1"/>
  <c r="X30" i="1"/>
  <c r="M10" i="1"/>
  <c r="S27" i="1"/>
  <c r="Y31" i="1"/>
  <c r="I33" i="1"/>
  <c r="J33" i="1" s="1"/>
  <c r="T33" i="1" s="1"/>
  <c r="M39" i="1"/>
  <c r="M41" i="1" s="1"/>
  <c r="Z17" i="1"/>
  <c r="U26" i="1"/>
  <c r="U24" i="1" s="1"/>
  <c r="U37" i="1" s="1"/>
  <c r="AA33" i="1"/>
  <c r="N10" i="1"/>
  <c r="N37" i="1" s="1"/>
  <c r="X12" i="1"/>
  <c r="X10" i="1" s="1"/>
  <c r="L24" i="1"/>
  <c r="L37" i="1" s="1"/>
  <c r="O27" i="1"/>
  <c r="I30" i="1"/>
  <c r="E10" i="1"/>
  <c r="Y14" i="1"/>
  <c r="U42" i="1"/>
  <c r="U44" i="1" s="1"/>
  <c r="C24" i="1"/>
  <c r="C37" i="1" s="1"/>
  <c r="J31" i="1"/>
  <c r="I34" i="1"/>
  <c r="J34" i="1" s="1"/>
  <c r="T34" i="1" s="1"/>
  <c r="AA13" i="1" l="1"/>
  <c r="Y12" i="1"/>
  <c r="Z13" i="1"/>
  <c r="Y39" i="1"/>
  <c r="Y41" i="1" s="1"/>
  <c r="S31" i="1"/>
  <c r="S30" i="1" s="1"/>
  <c r="R30" i="1"/>
  <c r="Y42" i="1"/>
  <c r="Y44" i="1" s="1"/>
  <c r="AA14" i="1"/>
  <c r="Z14" i="1"/>
  <c r="S39" i="1"/>
  <c r="S41" i="1" s="1"/>
  <c r="S12" i="1"/>
  <c r="S10" i="1" s="1"/>
  <c r="T13" i="1"/>
  <c r="T12" i="1" s="1"/>
  <c r="T10" i="1" s="1"/>
  <c r="AA26" i="1"/>
  <c r="Z26" i="1"/>
  <c r="X24" i="1"/>
  <c r="X37" i="1" s="1"/>
  <c r="P27" i="1"/>
  <c r="O26" i="1"/>
  <c r="O24" i="1" s="1"/>
  <c r="O37" i="1" s="1"/>
  <c r="P37" i="1" s="1"/>
  <c r="J27" i="1"/>
  <c r="I26" i="1"/>
  <c r="I24" i="1" s="1"/>
  <c r="I37" i="1" s="1"/>
  <c r="J37" i="1" s="1"/>
  <c r="G10" i="1"/>
  <c r="G37" i="1" s="1"/>
  <c r="J30" i="1"/>
  <c r="Y30" i="1"/>
  <c r="Y24" i="1" s="1"/>
  <c r="AA31" i="1"/>
  <c r="Z31" i="1"/>
  <c r="E37" i="1"/>
  <c r="R26" i="1"/>
  <c r="R24" i="1" s="1"/>
  <c r="R37" i="1" s="1"/>
  <c r="S37" i="1" s="1"/>
  <c r="J42" i="1"/>
  <c r="J44" i="1" s="1"/>
  <c r="T17" i="1"/>
  <c r="T16" i="1" s="1"/>
  <c r="S26" i="1"/>
  <c r="AA35" i="1"/>
  <c r="Z35" i="1"/>
  <c r="AA28" i="1"/>
  <c r="Z28" i="1"/>
  <c r="S42" i="1"/>
  <c r="S44" i="1" s="1"/>
  <c r="AA24" i="1" l="1"/>
  <c r="Z24" i="1"/>
  <c r="S38" i="1"/>
  <c r="P38" i="1"/>
  <c r="T37" i="1"/>
  <c r="N38" i="1"/>
  <c r="M38" i="1"/>
  <c r="J38" i="1"/>
  <c r="P26" i="1"/>
  <c r="P24" i="1" s="1"/>
  <c r="P39" i="1"/>
  <c r="P41" i="1" s="1"/>
  <c r="Y10" i="1"/>
  <c r="AA12" i="1"/>
  <c r="Z12" i="1"/>
  <c r="S24" i="1"/>
  <c r="T31" i="1"/>
  <c r="T30" i="1" s="1"/>
  <c r="Z30" i="1"/>
  <c r="AA30" i="1"/>
  <c r="J26" i="1"/>
  <c r="J24" i="1" s="1"/>
  <c r="T27" i="1"/>
  <c r="T26" i="1" s="1"/>
  <c r="J39" i="1"/>
  <c r="J41" i="1" s="1"/>
  <c r="T24" i="1" l="1"/>
  <c r="AA10" i="1"/>
  <c r="Z10" i="1"/>
  <c r="Y37" i="1"/>
  <c r="Z37" i="1" l="1"/>
  <c r="AA37" i="1"/>
</calcChain>
</file>

<file path=xl/comments1.xml><?xml version="1.0" encoding="utf-8"?>
<comments xmlns="http://schemas.openxmlformats.org/spreadsheetml/2006/main">
  <authors>
    <author>Oscar Rubio</author>
  </authors>
  <commentList>
    <comment ref="AA12" authorId="0" shapeId="0">
      <text>
        <r>
          <rPr>
            <sz val="9"/>
            <color indexed="81"/>
            <rFont val="Tahoma"/>
            <family val="2"/>
          </rPr>
          <t>No se logro llegar a la meta estimada para beneficio en 3.394 cb, equivalentes a $26.708.330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Inicialmente se tenia contemplado recuperación de cartera correspondiente al Fondo Ganadero del Tolima, Paso Real y T.M Jerico sin embargo a 31 de dicimbre no se ha podido recuperar el recurso</t>
        </r>
      </text>
    </comment>
    <comment ref="AA27" authorId="0" shapeId="0">
      <text>
        <r>
          <rPr>
            <sz val="9"/>
            <color indexed="81"/>
            <rFont val="Tahoma"/>
            <family val="2"/>
          </rPr>
          <t>Se percibio mayores rendimientos a los esperados debido a que los ingresos por cuota de fomento se trasladan a fiducias incrementando los rendimientos bancarios</t>
        </r>
      </text>
    </comment>
    <comment ref="AA28" authorId="0" shapeId="0">
      <text>
        <r>
          <rPr>
            <sz val="9"/>
            <color indexed="81"/>
            <rFont val="Tahoma"/>
            <family val="2"/>
          </rPr>
          <t>Debido a que se efectuaron importaciones de chapetas y pago a proveedores, disminuyo el saldo en la fiducia obteniendo menos recursos por rendimientos financieros</t>
        </r>
      </text>
    </comment>
    <comment ref="AA32" authorId="0" shapeId="0">
      <text>
        <r>
          <rPr>
            <sz val="9"/>
            <color indexed="81"/>
            <rFont val="Tahoma"/>
            <family val="2"/>
          </rPr>
          <t>se obtuvo un mayor ingreso al esperado en los intereses de recuperación de cartera e ingreso por incapacidades de funcionarios</t>
        </r>
      </text>
    </comment>
    <comment ref="AA33" authorId="0" shapeId="0">
      <text>
        <r>
          <rPr>
            <sz val="9"/>
            <color indexed="81"/>
            <rFont val="Tahoma"/>
            <family val="2"/>
          </rPr>
          <t>Se genero ingreso por pago de las eps por incapacidad de funcionarios</t>
        </r>
      </text>
    </comment>
    <comment ref="AA34" authorId="0" shapeId="0">
      <text>
        <r>
          <rPr>
            <sz val="9"/>
            <color indexed="81"/>
            <rFont val="Tahoma"/>
            <family val="2"/>
          </rPr>
          <t>No se obtuvieron los ingresos esperados por ingresos de tarifas de centro de servicios del área económico ni por venta de  publicaciones y videos en el evento Agroexpo</t>
        </r>
      </text>
    </comment>
    <comment ref="D35" authorId="0" shapeId="0">
      <text>
        <r>
          <rPr>
            <sz val="9"/>
            <color indexed="81"/>
            <rFont val="Tahoma"/>
            <family val="2"/>
          </rPr>
          <t xml:space="preserve">Gobernaciones y Alcaldias, Convenio (-$110.570.668)  Cortolima $16.000.000, Agroexpo $70.000.000,Gira técnica $150.000.000 y Compra reactivos Diagnostico animal$23.733.675 
</t>
        </r>
      </text>
    </comment>
  </commentList>
</comments>
</file>

<file path=xl/sharedStrings.xml><?xml version="1.0" encoding="utf-8"?>
<sst xmlns="http://schemas.openxmlformats.org/spreadsheetml/2006/main" count="83" uniqueCount="52">
  <si>
    <t>MINISTERIO DE AGRICULTURA Y DESARROLLO RURAL</t>
  </si>
  <si>
    <t>DIRECCIÓN DE PLANEACIÓN Y SEGUIMIENTO PRESUPUESTAL</t>
  </si>
  <si>
    <t>EJECUCIÓN DE INGRESOS Y GASTOS ENERO-DICIEMBRE 2017</t>
  </si>
  <si>
    <t>ANEXO 1</t>
  </si>
  <si>
    <t>CUENTAS</t>
  </si>
  <si>
    <t>PRESUPUESTO INICIAL AÑO 2017</t>
  </si>
  <si>
    <t>ACUERDO 5/17</t>
  </si>
  <si>
    <t>ACUERDO 9/17</t>
  </si>
  <si>
    <t>ACUERDO 12/17</t>
  </si>
  <si>
    <t>ACUERDO 15/17</t>
  </si>
  <si>
    <t>PRESUPUESTO MODIFICADO AÑO 2017</t>
  </si>
  <si>
    <t>SOLICITADO</t>
  </si>
  <si>
    <t>ACUERDO 6/17</t>
  </si>
  <si>
    <t>SOLICITADO DEFINITIVO</t>
  </si>
  <si>
    <t>ACUERDO10 /17</t>
  </si>
  <si>
    <t>ACUERDO13/17</t>
  </si>
  <si>
    <t xml:space="preserve">ACUERDO </t>
  </si>
  <si>
    <t>TOTAL SOLICITADO ANUAL 2017</t>
  </si>
  <si>
    <t>EJECUCIÓN</t>
  </si>
  <si>
    <t>EJECUCIÓN ENE-DIC 2017</t>
  </si>
  <si>
    <t>ACUERDO 4/18</t>
  </si>
  <si>
    <t>% EJEC. ANUAL</t>
  </si>
  <si>
    <t>ENERO-MARZO</t>
  </si>
  <si>
    <t>ABRIL-JUNIO</t>
  </si>
  <si>
    <t>JULIO-SEPTIEMBRE</t>
  </si>
  <si>
    <t>OCTUBRE-DICIEMBRE</t>
  </si>
  <si>
    <t>JUL.-SEPT.</t>
  </si>
  <si>
    <t>OCT.-DIC.</t>
  </si>
  <si>
    <t>AÑO 2017</t>
  </si>
  <si>
    <t>INGRESOS OPERACIONALES</t>
  </si>
  <si>
    <t xml:space="preserve">CUOTA DE FOMENTO PORCÍCOLA </t>
  </si>
  <si>
    <t>Cuota de Fomento</t>
  </si>
  <si>
    <t>Cuota de Erradicación Peste Porcina Clásica</t>
  </si>
  <si>
    <t xml:space="preserve"> 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</si>
  <si>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</si>
  <si>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</si>
  <si>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</si>
  <si>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</si>
  <si>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</si>
  <si>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</si>
  <si>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</si>
  <si>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</si>
  <si>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</si>
  <si>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</si>
  <si>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</si>
  <si>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</si>
  <si>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</si>
  <si>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INGRESOS FONDO</t>
  </si>
  <si>
    <t>GASTOS FONDO</t>
  </si>
  <si>
    <t>DIFERENCIA</t>
  </si>
  <si>
    <t>INGRESOS PPC</t>
  </si>
  <si>
    <t>GASTOS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</si>
</sst>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 [$€-2]\ * #,##0.00_ ;_ [$€-2]\ * \-#,##0.00_ ;_ [$€-2]\ * &quot;-&quot;??_ "/>
    <numFmt numFmtId="165" formatCode="_-* #,##0\ _$_-;\-* #,##0\ _$_-;_-* &quot;-&quot;\ _$_-;_-@_-"/>
    <numFmt numFmtId="166" formatCode="_ * #,##0.00_ ;_ * \-#,##0.00_ ;_ * &quot;-&quot;??_ ;_ @_ "/>
    <numFmt numFmtId="167" formatCode="_-* #,##0.00_-;\-* #,##0.00_-;_-* &quot;-&quot;??_-;_-@_-"/>
    <numFmt numFmtId="168" formatCode="_-* #,##0_-;\-* #,##0_-;_-* &quot;-&quot;??_-;_-@_-"/>
    <numFmt numFmtId="169" formatCode="_(* #,##0_);_(* \(#,##0\);_(* &quot;-&quot;??_);_(@_)"/>
    <numFmt numFmtId="170" formatCode="_ * #,##0_ ;_ * \-#,##0_ ;_ * &quot;-&quot;??_ ;_ @_ "/>
  </numFmts>
  <fonts count="10" x14ac:knownFonts="1"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Comic Sans MS"/>
      <family val="4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double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164" fontId="0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164" fontId="0" fillId="0" borderId="0" xfId="0"/>
    <xf numFmtId="164" fontId="1" fillId="2" borderId="0" xfId="0" applyFont="1" applyFill="1"/>
    <xf numFmtId="164" fontId="2" fillId="2" borderId="0" xfId="0" applyFont="1" applyFill="1"/>
    <xf numFmtId="41" fontId="2" fillId="2" borderId="0" xfId="0" applyNumberFormat="1" applyFont="1" applyFill="1"/>
    <xf numFmtId="164" fontId="2" fillId="0" borderId="0" xfId="0" applyFont="1" applyFill="1"/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4" fontId="2" fillId="2" borderId="0" xfId="0" applyNumberFormat="1" applyFont="1" applyFill="1"/>
    <xf numFmtId="165" fontId="2" fillId="2" borderId="0" xfId="0" applyNumberFormat="1" applyFont="1" applyFill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3" xfId="0" applyFont="1" applyFill="1" applyBorder="1" applyAlignment="1">
      <alignment horizontal="left"/>
    </xf>
    <xf numFmtId="41" fontId="3" fillId="2" borderId="14" xfId="3" applyNumberFormat="1" applyFont="1" applyFill="1" applyBorder="1" applyAlignment="1">
      <alignment horizontal="center"/>
    </xf>
    <xf numFmtId="41" fontId="3" fillId="2" borderId="15" xfId="3" applyNumberFormat="1" applyFont="1" applyFill="1" applyBorder="1" applyAlignment="1">
      <alignment horizontal="center"/>
    </xf>
    <xf numFmtId="41" fontId="3" fillId="2" borderId="16" xfId="4" applyNumberFormat="1" applyFont="1" applyFill="1" applyBorder="1"/>
    <xf numFmtId="41" fontId="3" fillId="2" borderId="6" xfId="1" applyNumberFormat="1" applyFont="1" applyFill="1" applyBorder="1"/>
    <xf numFmtId="168" fontId="3" fillId="2" borderId="7" xfId="1" applyNumberFormat="1" applyFont="1" applyFill="1" applyBorder="1"/>
    <xf numFmtId="41" fontId="3" fillId="2" borderId="7" xfId="1" applyNumberFormat="1" applyFont="1" applyFill="1" applyBorder="1"/>
    <xf numFmtId="168" fontId="3" fillId="2" borderId="17" xfId="4" applyNumberFormat="1" applyFont="1" applyFill="1" applyBorder="1"/>
    <xf numFmtId="41" fontId="3" fillId="2" borderId="6" xfId="3" applyNumberFormat="1" applyFont="1" applyFill="1" applyBorder="1" applyAlignment="1">
      <alignment horizontal="center"/>
    </xf>
    <xf numFmtId="41" fontId="3" fillId="2" borderId="6" xfId="3" applyNumberFormat="1" applyFont="1" applyFill="1" applyBorder="1" applyAlignment="1">
      <alignment horizontal="right"/>
    </xf>
    <xf numFmtId="41" fontId="3" fillId="2" borderId="15" xfId="3" applyNumberFormat="1" applyFont="1" applyFill="1" applyBorder="1" applyAlignment="1">
      <alignment horizontal="right"/>
    </xf>
    <xf numFmtId="10" fontId="3" fillId="2" borderId="18" xfId="2" applyNumberFormat="1" applyFont="1" applyFill="1" applyBorder="1" applyAlignment="1">
      <alignment horizontal="right"/>
    </xf>
    <xf numFmtId="164" fontId="1" fillId="2" borderId="19" xfId="0" applyFont="1" applyFill="1" applyBorder="1"/>
    <xf numFmtId="41" fontId="1" fillId="2" borderId="16" xfId="4" applyNumberFormat="1" applyFont="1" applyFill="1" applyBorder="1"/>
    <xf numFmtId="41" fontId="1" fillId="2" borderId="17" xfId="4" applyNumberFormat="1" applyFont="1" applyFill="1" applyBorder="1"/>
    <xf numFmtId="41" fontId="3" fillId="2" borderId="16" xfId="1" applyNumberFormat="1" applyFont="1" applyFill="1" applyBorder="1"/>
    <xf numFmtId="168" fontId="3" fillId="2" borderId="17" xfId="1" applyNumberFormat="1" applyFont="1" applyFill="1" applyBorder="1"/>
    <xf numFmtId="41" fontId="3" fillId="2" borderId="17" xfId="1" applyNumberFormat="1" applyFont="1" applyFill="1" applyBorder="1"/>
    <xf numFmtId="41" fontId="1" fillId="2" borderId="16" xfId="1" applyNumberFormat="1" applyFont="1" applyFill="1" applyBorder="1"/>
    <xf numFmtId="9" fontId="1" fillId="2" borderId="18" xfId="2" applyFont="1" applyFill="1" applyBorder="1"/>
    <xf numFmtId="164" fontId="3" fillId="2" borderId="20" xfId="0" applyFont="1" applyFill="1" applyBorder="1"/>
    <xf numFmtId="169" fontId="3" fillId="2" borderId="21" xfId="3" applyNumberFormat="1" applyFont="1" applyFill="1" applyBorder="1" applyAlignment="1">
      <alignment wrapText="1"/>
    </xf>
    <xf numFmtId="41" fontId="3" fillId="2" borderId="17" xfId="4" applyNumberFormat="1" applyFont="1" applyFill="1" applyBorder="1"/>
    <xf numFmtId="41" fontId="5" fillId="2" borderId="16" xfId="4" applyNumberFormat="1" applyFont="1" applyFill="1" applyBorder="1"/>
    <xf numFmtId="168" fontId="1" fillId="2" borderId="17" xfId="1" applyNumberFormat="1" applyFont="1" applyFill="1" applyBorder="1"/>
    <xf numFmtId="41" fontId="1" fillId="2" borderId="17" xfId="1" applyNumberFormat="1" applyFont="1" applyFill="1" applyBorder="1"/>
    <xf numFmtId="41" fontId="1" fillId="2" borderId="16" xfId="5" applyNumberFormat="1" applyFont="1" applyFill="1" applyBorder="1"/>
    <xf numFmtId="41" fontId="1" fillId="2" borderId="6" xfId="1" applyNumberFormat="1" applyFont="1" applyFill="1" applyBorder="1"/>
    <xf numFmtId="41" fontId="6" fillId="2" borderId="16" xfId="2" applyNumberFormat="1" applyFont="1" applyFill="1" applyBorder="1"/>
    <xf numFmtId="41" fontId="1" fillId="2" borderId="16" xfId="6" applyNumberFormat="1" applyFont="1" applyFill="1" applyBorder="1"/>
    <xf numFmtId="10" fontId="1" fillId="2" borderId="18" xfId="2" applyNumberFormat="1" applyFont="1" applyFill="1" applyBorder="1" applyAlignment="1">
      <alignment horizontal="right"/>
    </xf>
    <xf numFmtId="41" fontId="1" fillId="2" borderId="16" xfId="2" applyNumberFormat="1" applyFont="1" applyFill="1" applyBorder="1"/>
    <xf numFmtId="164" fontId="3" fillId="2" borderId="19" xfId="0" applyFont="1" applyFill="1" applyBorder="1"/>
    <xf numFmtId="10" fontId="3" fillId="0" borderId="18" xfId="2" applyNumberFormat="1" applyFont="1" applyFill="1" applyBorder="1" applyAlignment="1">
      <alignment horizontal="right"/>
    </xf>
    <xf numFmtId="10" fontId="1" fillId="0" borderId="18" xfId="2" applyNumberFormat="1" applyFont="1" applyFill="1" applyBorder="1" applyAlignment="1">
      <alignment horizontal="right"/>
    </xf>
    <xf numFmtId="167" fontId="1" fillId="2" borderId="16" xfId="1" applyNumberFormat="1" applyFont="1" applyFill="1" applyBorder="1"/>
    <xf numFmtId="9" fontId="1" fillId="0" borderId="18" xfId="2" applyFont="1" applyFill="1" applyBorder="1"/>
    <xf numFmtId="41" fontId="1" fillId="2" borderId="17" xfId="2" applyNumberFormat="1" applyFont="1" applyFill="1" applyBorder="1"/>
    <xf numFmtId="41" fontId="7" fillId="2" borderId="16" xfId="4" applyNumberFormat="1" applyFont="1" applyFill="1" applyBorder="1"/>
    <xf numFmtId="168" fontId="3" fillId="2" borderId="16" xfId="4" applyNumberFormat="1" applyFont="1" applyFill="1" applyBorder="1"/>
    <xf numFmtId="10" fontId="3" fillId="0" borderId="22" xfId="2" applyNumberFormat="1" applyFont="1" applyFill="1" applyBorder="1" applyAlignment="1">
      <alignment horizontal="right"/>
    </xf>
    <xf numFmtId="164" fontId="1" fillId="2" borderId="23" xfId="0" applyFont="1" applyFill="1" applyBorder="1"/>
    <xf numFmtId="41" fontId="1" fillId="2" borderId="24" xfId="4" applyNumberFormat="1" applyFont="1" applyFill="1" applyBorder="1"/>
    <xf numFmtId="41" fontId="1" fillId="2" borderId="25" xfId="4" applyNumberFormat="1" applyFont="1" applyFill="1" applyBorder="1"/>
    <xf numFmtId="41" fontId="1" fillId="2" borderId="24" xfId="1" applyNumberFormat="1" applyFont="1" applyFill="1" applyBorder="1"/>
    <xf numFmtId="168" fontId="1" fillId="2" borderId="25" xfId="1" applyNumberFormat="1" applyFont="1" applyFill="1" applyBorder="1"/>
    <xf numFmtId="41" fontId="1" fillId="2" borderId="25" xfId="1" applyNumberFormat="1" applyFont="1" applyFill="1" applyBorder="1"/>
    <xf numFmtId="168" fontId="1" fillId="2" borderId="26" xfId="1" applyNumberFormat="1" applyFont="1" applyFill="1" applyBorder="1"/>
    <xf numFmtId="164" fontId="1" fillId="2" borderId="27" xfId="0" applyFont="1" applyFill="1" applyBorder="1"/>
    <xf numFmtId="41" fontId="1" fillId="2" borderId="6" xfId="4" applyNumberFormat="1" applyFont="1" applyFill="1" applyBorder="1"/>
    <xf numFmtId="41" fontId="1" fillId="2" borderId="7" xfId="1" applyNumberFormat="1" applyFont="1" applyFill="1" applyBorder="1"/>
    <xf numFmtId="41" fontId="1" fillId="2" borderId="11" xfId="4" applyNumberFormat="1" applyFont="1" applyFill="1" applyBorder="1"/>
    <xf numFmtId="9" fontId="1" fillId="0" borderId="22" xfId="2" applyFont="1" applyFill="1" applyBorder="1"/>
    <xf numFmtId="164" fontId="3" fillId="2" borderId="28" xfId="0" applyFont="1" applyFill="1" applyBorder="1"/>
    <xf numFmtId="41" fontId="3" fillId="2" borderId="29" xfId="0" applyNumberFormat="1" applyFont="1" applyFill="1" applyBorder="1"/>
    <xf numFmtId="168" fontId="3" fillId="2" borderId="29" xfId="4" applyNumberFormat="1" applyFont="1" applyFill="1" applyBorder="1"/>
    <xf numFmtId="41" fontId="3" fillId="2" borderId="30" xfId="0" applyNumberFormat="1" applyFont="1" applyFill="1" applyBorder="1"/>
    <xf numFmtId="41" fontId="3" fillId="2" borderId="29" xfId="0" applyNumberFormat="1" applyFont="1" applyFill="1" applyBorder="1" applyAlignment="1">
      <alignment horizontal="center"/>
    </xf>
    <xf numFmtId="10" fontId="3" fillId="0" borderId="31" xfId="2" applyNumberFormat="1" applyFont="1" applyFill="1" applyBorder="1" applyAlignment="1">
      <alignment horizontal="right"/>
    </xf>
    <xf numFmtId="10" fontId="2" fillId="0" borderId="0" xfId="2" applyNumberFormat="1" applyFont="1" applyFill="1"/>
    <xf numFmtId="165" fontId="2" fillId="0" borderId="0" xfId="0" applyNumberFormat="1" applyFont="1" applyFill="1"/>
    <xf numFmtId="170" fontId="8" fillId="2" borderId="32" xfId="5" applyNumberFormat="1" applyFont="1" applyFill="1" applyBorder="1"/>
    <xf numFmtId="170" fontId="8" fillId="0" borderId="32" xfId="5" applyNumberFormat="1" applyFont="1" applyFill="1" applyBorder="1"/>
    <xf numFmtId="170" fontId="8" fillId="3" borderId="32" xfId="5" applyNumberFormat="1" applyFont="1" applyFill="1" applyBorder="1"/>
    <xf numFmtId="170" fontId="8" fillId="0" borderId="0" xfId="5" applyNumberFormat="1" applyFont="1" applyFill="1" applyBorder="1"/>
    <xf numFmtId="164" fontId="2" fillId="0" borderId="33" xfId="0" applyFont="1" applyFill="1" applyBorder="1"/>
    <xf numFmtId="170" fontId="2" fillId="0" borderId="0" xfId="0" applyNumberFormat="1" applyFont="1" applyFill="1"/>
    <xf numFmtId="167" fontId="2" fillId="0" borderId="0" xfId="0" applyNumberFormat="1" applyFont="1" applyFill="1"/>
  </cellXfs>
  <cellStyles count="7">
    <cellStyle name="Millares" xfId="1" builtinId="3"/>
    <cellStyle name="Millares_Formato Presupuesto Minagricultura" xfId="4"/>
    <cellStyle name="Millares_INGRESOS 2005" xfId="3"/>
    <cellStyle name="Millares_PRESUPUESTO INGRESOS 2011" xfId="5"/>
    <cellStyle name="Normal" xfId="0" builtinId="0"/>
    <cellStyle name="Porcentaje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7/CIERRE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A&#241;o%202010\MANEJO%20PTO%202010\PRESUPUESTO%20INGRESOS%20ESTIMAD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PRESUPUESTO%202014\PRESUPUESTO%202014%20V.4\Presupuesto%202014%20version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Proyección ingresos programas"/>
      <sheetName val="ANEXO INGRESOS"/>
      <sheetName val="Anexo 2 "/>
      <sheetName val="Areas"/>
      <sheetName val="RES"/>
      <sheetName val="superavit"/>
      <sheetName val="ECO"/>
      <sheetName val="TEC"/>
      <sheetName val="TRANSF"/>
      <sheetName val="SAN"/>
      <sheetName val="MER"/>
      <sheetName val="PPC"/>
      <sheetName val="FUN"/>
      <sheetName val="BIOLOGICO"/>
      <sheetName val="CONCILIACIÓN INGRESOS"/>
    </sheetNames>
    <sheetDataSet>
      <sheetData sheetId="0"/>
      <sheetData sheetId="1"/>
      <sheetData sheetId="2">
        <row r="13">
          <cell r="C13">
            <v>12113399</v>
          </cell>
          <cell r="E13">
            <v>14201516</v>
          </cell>
          <cell r="F13">
            <v>24573229</v>
          </cell>
        </row>
        <row r="21">
          <cell r="C21">
            <v>47209767</v>
          </cell>
          <cell r="D21">
            <v>50022922</v>
          </cell>
          <cell r="E21">
            <v>27459933</v>
          </cell>
          <cell r="F21">
            <v>23888861</v>
          </cell>
        </row>
        <row r="28">
          <cell r="C28">
            <v>1130000</v>
          </cell>
          <cell r="E28">
            <v>2423606</v>
          </cell>
          <cell r="F28">
            <v>5377802</v>
          </cell>
        </row>
        <row r="38">
          <cell r="C38">
            <v>52237214</v>
          </cell>
          <cell r="E38">
            <v>92396033</v>
          </cell>
          <cell r="F38">
            <v>435249449</v>
          </cell>
        </row>
        <row r="42">
          <cell r="C42">
            <v>74011166</v>
          </cell>
          <cell r="D42">
            <v>65514551</v>
          </cell>
          <cell r="E42">
            <v>40243938</v>
          </cell>
          <cell r="F42">
            <v>38700974</v>
          </cell>
        </row>
        <row r="51">
          <cell r="C51">
            <v>487378</v>
          </cell>
          <cell r="E51">
            <v>5944431</v>
          </cell>
          <cell r="F51">
            <v>113694</v>
          </cell>
        </row>
      </sheetData>
      <sheetData sheetId="3"/>
      <sheetData sheetId="4"/>
      <sheetData sheetId="5"/>
      <sheetData sheetId="6"/>
      <sheetData sheetId="7">
        <row r="72">
          <cell r="B72">
            <v>4909328305.0027847</v>
          </cell>
          <cell r="I72">
            <v>4673142362.5877848</v>
          </cell>
          <cell r="J72">
            <v>1311275575.6491396</v>
          </cell>
          <cell r="M72">
            <v>837052113.27999997</v>
          </cell>
          <cell r="N72">
            <v>1348847104.6759906</v>
          </cell>
          <cell r="Q72">
            <v>1083608851</v>
          </cell>
          <cell r="U72">
            <v>1204318219.6600001</v>
          </cell>
          <cell r="V72">
            <v>1485184190.0377853</v>
          </cell>
          <cell r="Y72">
            <v>1260894799.5442555</v>
          </cell>
          <cell r="AA72">
            <v>837052112.82999992</v>
          </cell>
          <cell r="AB72">
            <v>1083608851</v>
          </cell>
          <cell r="AC72">
            <v>1204318219.21</v>
          </cell>
          <cell r="AD72">
            <v>1260894800</v>
          </cell>
        </row>
      </sheetData>
      <sheetData sheetId="8">
        <row r="51">
          <cell r="B51">
            <v>2019069421.9116025</v>
          </cell>
          <cell r="I51">
            <v>2124794302.0166025</v>
          </cell>
          <cell r="J51">
            <v>480234878.45029783</v>
          </cell>
          <cell r="M51">
            <v>431523374.65799999</v>
          </cell>
          <cell r="N51">
            <v>554860840.79012752</v>
          </cell>
          <cell r="Q51">
            <v>492251648</v>
          </cell>
          <cell r="U51">
            <v>500356094</v>
          </cell>
          <cell r="V51">
            <v>700392633.49182773</v>
          </cell>
          <cell r="Y51">
            <v>567218918</v>
          </cell>
          <cell r="AA51">
            <v>431523375</v>
          </cell>
          <cell r="AB51">
            <v>492251648</v>
          </cell>
          <cell r="AC51">
            <v>500356094</v>
          </cell>
          <cell r="AD51">
            <v>567218918</v>
          </cell>
        </row>
      </sheetData>
      <sheetData sheetId="9">
        <row r="71">
          <cell r="B71">
            <v>2037154411.9912839</v>
          </cell>
          <cell r="I71">
            <v>2211503530.9912839</v>
          </cell>
          <cell r="J71">
            <v>372971768.346102</v>
          </cell>
          <cell r="M71">
            <v>257974783.34610194</v>
          </cell>
          <cell r="N71">
            <v>620718981.45037806</v>
          </cell>
          <cell r="Q71">
            <v>487058283</v>
          </cell>
          <cell r="U71">
            <v>566984368</v>
          </cell>
          <cell r="V71">
            <v>897615549.39518189</v>
          </cell>
          <cell r="Y71">
            <v>823581238</v>
          </cell>
          <cell r="AA71">
            <v>257974783</v>
          </cell>
          <cell r="AB71">
            <v>487058283</v>
          </cell>
          <cell r="AC71">
            <v>566984368</v>
          </cell>
          <cell r="AD71">
            <v>823581238</v>
          </cell>
        </row>
      </sheetData>
      <sheetData sheetId="10">
        <row r="40">
          <cell r="B40">
            <v>307602384.70271885</v>
          </cell>
          <cell r="I40">
            <v>826026981.70271885</v>
          </cell>
          <cell r="J40">
            <v>106241214.18918985</v>
          </cell>
          <cell r="M40">
            <v>83091473.46411249</v>
          </cell>
          <cell r="N40">
            <v>339051119.64434755</v>
          </cell>
          <cell r="Q40">
            <v>264347535.22499999</v>
          </cell>
          <cell r="U40">
            <v>65281471.225000001</v>
          </cell>
          <cell r="V40">
            <v>411226027.37110633</v>
          </cell>
          <cell r="Y40">
            <v>351406156</v>
          </cell>
          <cell r="AA40">
            <v>83091473</v>
          </cell>
          <cell r="AB40">
            <v>264347535</v>
          </cell>
          <cell r="AC40">
            <v>65281471</v>
          </cell>
          <cell r="AD40">
            <v>351406156</v>
          </cell>
        </row>
      </sheetData>
      <sheetData sheetId="11">
        <row r="75">
          <cell r="B75">
            <v>9097346242.3600674</v>
          </cell>
          <cell r="I75">
            <v>8966550044.3600674</v>
          </cell>
          <cell r="J75">
            <v>1360324693.3224306</v>
          </cell>
          <cell r="M75">
            <v>1085942795.4145153</v>
          </cell>
          <cell r="N75">
            <v>3582328190.0750904</v>
          </cell>
          <cell r="Q75">
            <v>3272595734</v>
          </cell>
          <cell r="U75">
            <v>2267213471</v>
          </cell>
          <cell r="V75">
            <v>2290530956.8159499</v>
          </cell>
          <cell r="Y75">
            <v>2141961689</v>
          </cell>
          <cell r="AA75">
            <v>1085942795</v>
          </cell>
          <cell r="AB75">
            <v>3272595734</v>
          </cell>
          <cell r="AC75">
            <v>2267213471</v>
          </cell>
          <cell r="AD75">
            <v>2141961689</v>
          </cell>
        </row>
      </sheetData>
      <sheetData sheetId="12">
        <row r="67">
          <cell r="B67">
            <v>19809376960.38205</v>
          </cell>
          <cell r="I67">
            <v>17488323377.487213</v>
          </cell>
          <cell r="J67">
            <v>4871627905.3018246</v>
          </cell>
          <cell r="M67">
            <v>2881523697</v>
          </cell>
          <cell r="N67">
            <v>4960876082.3481503</v>
          </cell>
          <cell r="Q67">
            <v>4187846664.9999995</v>
          </cell>
          <cell r="U67">
            <v>3780609585.0000005</v>
          </cell>
          <cell r="V67">
            <v>5067544631.6965485</v>
          </cell>
          <cell r="Y67">
            <v>4133014099.999999</v>
          </cell>
          <cell r="AA67">
            <v>2881523697</v>
          </cell>
          <cell r="AB67">
            <v>4187846665</v>
          </cell>
          <cell r="AD67">
            <v>4133014100</v>
          </cell>
        </row>
      </sheetData>
      <sheetData sheetId="13">
        <row r="20">
          <cell r="J20">
            <v>92103243.385933995</v>
          </cell>
        </row>
        <row r="38">
          <cell r="J38">
            <v>162128586.97050002</v>
          </cell>
        </row>
        <row r="41">
          <cell r="J41">
            <v>479847779</v>
          </cell>
        </row>
        <row r="42">
          <cell r="B42">
            <v>1275881602.8257923</v>
          </cell>
          <cell r="I42">
            <v>1225459815.8257923</v>
          </cell>
          <cell r="J42">
            <v>287908667.40000004</v>
          </cell>
          <cell r="M42">
            <v>281002608</v>
          </cell>
          <cell r="N42">
            <v>299600176.16250002</v>
          </cell>
          <cell r="Q42">
            <v>286292970</v>
          </cell>
          <cell r="U42">
            <v>315998547.8125</v>
          </cell>
          <cell r="V42">
            <v>342165690.01329231</v>
          </cell>
          <cell r="Y42">
            <v>334851306</v>
          </cell>
          <cell r="AA42">
            <v>281002608</v>
          </cell>
          <cell r="AB42">
            <v>286292970</v>
          </cell>
          <cell r="AC42">
            <v>315998548</v>
          </cell>
          <cell r="AD42">
            <v>334851306</v>
          </cell>
        </row>
        <row r="48">
          <cell r="B48">
            <v>202316434.56432724</v>
          </cell>
          <cell r="I48">
            <v>33177721.459167242</v>
          </cell>
        </row>
        <row r="50">
          <cell r="B50">
            <v>7481687196.589119</v>
          </cell>
          <cell r="I50">
            <v>5650485331.4839592</v>
          </cell>
          <cell r="M50">
            <v>929797103.26312506</v>
          </cell>
          <cell r="N50">
            <v>1051626447.6737084</v>
          </cell>
          <cell r="Q50">
            <v>970746336</v>
          </cell>
          <cell r="U50">
            <v>1031306883.8</v>
          </cell>
          <cell r="V50">
            <v>1267469305.3913314</v>
          </cell>
          <cell r="AA50">
            <v>929797103</v>
          </cell>
          <cell r="AB50">
            <v>970746336</v>
          </cell>
          <cell r="AC50">
            <v>1031306884</v>
          </cell>
          <cell r="AD50">
            <v>1159018122</v>
          </cell>
        </row>
      </sheetData>
      <sheetData sheetId="14"/>
      <sheetData sheetId="15">
        <row r="7">
          <cell r="E7">
            <v>2424514517</v>
          </cell>
          <cell r="F7">
            <v>2398156817.4499998</v>
          </cell>
          <cell r="G7">
            <v>2572462659</v>
          </cell>
        </row>
        <row r="8">
          <cell r="D8">
            <v>98268910</v>
          </cell>
        </row>
        <row r="38">
          <cell r="H38">
            <v>8426627911</v>
          </cell>
        </row>
        <row r="55">
          <cell r="H55">
            <v>8929368187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8" refreshError="1"/>
      <sheetData sheetId="9" refreshError="1"/>
      <sheetData sheetId="10" refreshError="1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Superavit 2013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Comparativo gastos personal "/>
    </sheetNames>
    <sheetDataSet>
      <sheetData sheetId="0">
        <row r="2">
          <cell r="A2" t="str">
            <v>MINISTERIO DE AGRICULTURA Y DESARROLLO RURAL</v>
          </cell>
        </row>
      </sheetData>
      <sheetData sheetId="1">
        <row r="2">
          <cell r="A2" t="str">
            <v>MINISTERIO DE AGRICULTURA Y DESARROLLO RURAL</v>
          </cell>
        </row>
      </sheetData>
      <sheetData sheetId="2">
        <row r="1">
          <cell r="A1" t="str">
            <v xml:space="preserve"> MOVIMIENTO PPC 2013</v>
          </cell>
        </row>
      </sheetData>
      <sheetData sheetId="3">
        <row r="2">
          <cell r="A2" t="str">
            <v>SUPUESTOS CALCULO DE INGRESOS PPC</v>
          </cell>
        </row>
      </sheetData>
      <sheetData sheetId="4">
        <row r="9">
          <cell r="B9" t="str">
            <v>SUPERAVIT PROYECTADO  AÑO 2013</v>
          </cell>
        </row>
      </sheetData>
      <sheetData sheetId="5">
        <row r="3">
          <cell r="B3" t="str">
            <v>EJECUCIÓN PROYECTADA DE INGRESOS AÑO 2013</v>
          </cell>
        </row>
      </sheetData>
      <sheetData sheetId="6">
        <row r="1">
          <cell r="A1" t="str">
            <v>MINISTERIO DE AGRICULTURA  Y DESARROLLO RURAL</v>
          </cell>
        </row>
      </sheetData>
      <sheetData sheetId="7">
        <row r="1">
          <cell r="A1" t="str">
            <v>MINISTERIO DE AGRICULTURA  Y DESARROLLO RURAL</v>
          </cell>
        </row>
      </sheetData>
      <sheetData sheetId="8">
        <row r="1">
          <cell r="A1" t="str">
            <v>MINISTERIO DE AGRICULTURA Y DESARROLLO RURAL</v>
          </cell>
        </row>
      </sheetData>
      <sheetData sheetId="9">
        <row r="1">
          <cell r="A1" t="str">
            <v>MINISTERIO DE AGRICULTURA Y DESARROLLO RURAL</v>
          </cell>
        </row>
      </sheetData>
      <sheetData sheetId="10">
        <row r="2">
          <cell r="A2" t="str">
            <v>GASTOS GENERALES</v>
          </cell>
        </row>
      </sheetData>
      <sheetData sheetId="11">
        <row r="4">
          <cell r="A4" t="str">
            <v>FONDO NACIONAL DE LA PORCICULTURA</v>
          </cell>
        </row>
      </sheetData>
      <sheetData sheetId="12">
        <row r="1">
          <cell r="D1" t="str">
            <v>FONDO NACIONAL DE LA PORCICULTURA</v>
          </cell>
        </row>
      </sheetData>
      <sheetData sheetId="13">
        <row r="6">
          <cell r="B6" t="str">
            <v>Información obtenida hasta el acuerdo No 14 de 2013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5"/>
  <sheetViews>
    <sheetView tabSelected="1" zoomScaleNormal="100" zoomScaleSheetLayoutView="83" workbookViewId="0">
      <pane xSplit="1" ySplit="9" topLeftCell="B31" activePane="bottomRight" state="frozen"/>
      <selection activeCell="A24" sqref="A24"/>
      <selection pane="topRight" activeCell="A24" sqref="A24"/>
      <selection pane="bottomLeft" activeCell="A24" sqref="A24"/>
      <selection pane="bottomRight" activeCell="AA27" sqref="AA27:AA28"/>
    </sheetView>
  </sheetViews>
  <sheetFormatPr baseColWidth="10" defaultColWidth="19.28515625" defaultRowHeight="15" outlineLevelRow="1" outlineLevelCol="2" x14ac:dyDescent="0.3"/>
  <cols>
    <col min="1" max="1" width="43.85546875" style="5" bestFit="1" customWidth="1"/>
    <col min="2" max="2" width="21.85546875" style="5" customWidth="1"/>
    <col min="3" max="3" width="17.140625" style="5" hidden="1" customWidth="1" outlineLevel="1"/>
    <col min="4" max="4" width="16.5703125" style="5" hidden="1" customWidth="1" outlineLevel="1"/>
    <col min="5" max="6" width="19.28515625" style="5" hidden="1" customWidth="1" outlineLevel="1"/>
    <col min="7" max="7" width="21.7109375" style="4" customWidth="1" collapsed="1"/>
    <col min="8" max="8" width="22" style="4" hidden="1" customWidth="1" outlineLevel="2"/>
    <col min="9" max="9" width="19.28515625" style="4" hidden="1" customWidth="1" outlineLevel="2"/>
    <col min="10" max="10" width="26.85546875" style="4" hidden="1" customWidth="1" outlineLevel="1" collapsed="1"/>
    <col min="11" max="11" width="22" style="4" hidden="1" customWidth="1" outlineLevel="2" collapsed="1"/>
    <col min="12" max="12" width="17.85546875" style="4" hidden="1" customWidth="1" outlineLevel="2"/>
    <col min="13" max="13" width="23" style="4" hidden="1" customWidth="1" outlineLevel="1" collapsed="1"/>
    <col min="14" max="14" width="20.85546875" style="4" hidden="1" customWidth="1" outlineLevel="2"/>
    <col min="15" max="15" width="19.28515625" style="4" hidden="1" customWidth="1" outlineLevel="2"/>
    <col min="16" max="16" width="25.5703125" style="4" hidden="1" customWidth="1" outlineLevel="1" collapsed="1"/>
    <col min="17" max="17" width="24.42578125" style="4" hidden="1" customWidth="1" outlineLevel="2"/>
    <col min="18" max="18" width="19.28515625" style="4" hidden="1" customWidth="1" outlineLevel="2"/>
    <col min="19" max="19" width="26.28515625" style="4" hidden="1" customWidth="1" outlineLevel="1" collapsed="1"/>
    <col min="20" max="20" width="19.28515625" style="4" hidden="1" customWidth="1" collapsed="1"/>
    <col min="21" max="21" width="21.42578125" style="4" hidden="1" customWidth="1" outlineLevel="1"/>
    <col min="22" max="23" width="20.85546875" style="4" hidden="1" customWidth="1" outlineLevel="1"/>
    <col min="24" max="24" width="19.28515625" style="4" hidden="1" customWidth="1" outlineLevel="1"/>
    <col min="25" max="25" width="22" style="4" customWidth="1" collapsed="1"/>
    <col min="26" max="26" width="19.28515625" style="4" customWidth="1"/>
    <col min="27" max="27" width="12.42578125" style="4" customWidth="1"/>
    <col min="28" max="42" width="19.28515625" style="4" customWidth="1"/>
    <col min="43" max="16384" width="19.28515625" style="5"/>
  </cols>
  <sheetData>
    <row r="1" spans="1:42" ht="24" customHeight="1" x14ac:dyDescent="0.3">
      <c r="A1" s="1"/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</row>
    <row r="2" spans="1:42" ht="15.75" x14ac:dyDescent="0.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2" ht="15.75" x14ac:dyDescent="0.3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42" ht="15.75" x14ac:dyDescent="0.3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42" ht="15.75" x14ac:dyDescent="0.3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42" ht="16.5" thickBot="1" x14ac:dyDescent="0.35">
      <c r="A6" s="7"/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8"/>
      <c r="N6" s="2"/>
      <c r="O6" s="2"/>
      <c r="P6" s="2"/>
      <c r="Q6" s="2"/>
      <c r="R6" s="2"/>
      <c r="S6" s="2"/>
      <c r="T6" s="9"/>
      <c r="U6" s="9"/>
      <c r="V6" s="9"/>
      <c r="W6" s="2"/>
      <c r="X6" s="2"/>
      <c r="Y6" s="2"/>
      <c r="Z6" s="2"/>
      <c r="AA6" s="2"/>
    </row>
    <row r="7" spans="1:42" s="18" customFormat="1" ht="17.100000000000001" customHeight="1" thickTop="1" x14ac:dyDescent="0.2">
      <c r="A7" s="10" t="s">
        <v>4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14" t="s">
        <v>11</v>
      </c>
      <c r="I7" s="12" t="s">
        <v>12</v>
      </c>
      <c r="J7" s="14" t="s">
        <v>13</v>
      </c>
      <c r="K7" s="15" t="s">
        <v>11</v>
      </c>
      <c r="L7" s="12" t="s">
        <v>14</v>
      </c>
      <c r="M7" s="14" t="s">
        <v>13</v>
      </c>
      <c r="N7" s="14" t="s">
        <v>11</v>
      </c>
      <c r="O7" s="12" t="s">
        <v>15</v>
      </c>
      <c r="P7" s="14" t="s">
        <v>13</v>
      </c>
      <c r="Q7" s="14" t="s">
        <v>11</v>
      </c>
      <c r="R7" s="12" t="s">
        <v>16</v>
      </c>
      <c r="S7" s="14" t="s">
        <v>13</v>
      </c>
      <c r="T7" s="13" t="s">
        <v>17</v>
      </c>
      <c r="U7" s="14" t="s">
        <v>18</v>
      </c>
      <c r="V7" s="14" t="s">
        <v>18</v>
      </c>
      <c r="W7" s="14" t="s">
        <v>18</v>
      </c>
      <c r="X7" s="14" t="s">
        <v>18</v>
      </c>
      <c r="Y7" s="13" t="s">
        <v>19</v>
      </c>
      <c r="Z7" s="13" t="s">
        <v>20</v>
      </c>
      <c r="AA7" s="16" t="s">
        <v>21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18" customFormat="1" ht="17.100000000000001" customHeight="1" x14ac:dyDescent="0.2">
      <c r="A8" s="19"/>
      <c r="B8" s="20"/>
      <c r="C8" s="21"/>
      <c r="D8" s="21"/>
      <c r="E8" s="21"/>
      <c r="F8" s="21"/>
      <c r="G8" s="22"/>
      <c r="H8" s="23" t="s">
        <v>22</v>
      </c>
      <c r="I8" s="21"/>
      <c r="J8" s="23" t="s">
        <v>22</v>
      </c>
      <c r="K8" s="24" t="s">
        <v>23</v>
      </c>
      <c r="L8" s="21"/>
      <c r="M8" s="23" t="s">
        <v>23</v>
      </c>
      <c r="N8" s="23" t="s">
        <v>24</v>
      </c>
      <c r="O8" s="21"/>
      <c r="P8" s="23" t="s">
        <v>24</v>
      </c>
      <c r="Q8" s="23" t="s">
        <v>25</v>
      </c>
      <c r="R8" s="21"/>
      <c r="S8" s="23" t="s">
        <v>25</v>
      </c>
      <c r="T8" s="22"/>
      <c r="U8" s="23" t="s">
        <v>22</v>
      </c>
      <c r="V8" s="23" t="s">
        <v>23</v>
      </c>
      <c r="W8" s="23" t="s">
        <v>26</v>
      </c>
      <c r="X8" s="23" t="s">
        <v>27</v>
      </c>
      <c r="Y8" s="22"/>
      <c r="Z8" s="22"/>
      <c r="AA8" s="25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s="18" customFormat="1" ht="29.25" customHeight="1" thickBot="1" x14ac:dyDescent="0.25">
      <c r="A9" s="26"/>
      <c r="B9" s="27"/>
      <c r="C9" s="28"/>
      <c r="D9" s="28"/>
      <c r="E9" s="28"/>
      <c r="F9" s="28"/>
      <c r="G9" s="29"/>
      <c r="H9" s="30" t="s">
        <v>28</v>
      </c>
      <c r="I9" s="28"/>
      <c r="J9" s="30" t="s">
        <v>28</v>
      </c>
      <c r="K9" s="31" t="s">
        <v>28</v>
      </c>
      <c r="L9" s="28"/>
      <c r="M9" s="30" t="s">
        <v>28</v>
      </c>
      <c r="N9" s="30" t="s">
        <v>28</v>
      </c>
      <c r="O9" s="28"/>
      <c r="P9" s="30" t="s">
        <v>28</v>
      </c>
      <c r="Q9" s="30" t="s">
        <v>28</v>
      </c>
      <c r="R9" s="28"/>
      <c r="S9" s="30" t="s">
        <v>28</v>
      </c>
      <c r="T9" s="29"/>
      <c r="U9" s="30" t="s">
        <v>28</v>
      </c>
      <c r="V9" s="30" t="s">
        <v>28</v>
      </c>
      <c r="W9" s="30" t="s">
        <v>28</v>
      </c>
      <c r="X9" s="30" t="s">
        <v>28</v>
      </c>
      <c r="Y9" s="29"/>
      <c r="Z9" s="29"/>
      <c r="AA9" s="32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4" customFormat="1" ht="15.75" x14ac:dyDescent="0.3">
      <c r="A10" s="33" t="s">
        <v>29</v>
      </c>
      <c r="B10" s="34">
        <f>+B12+B16+B20</f>
        <v>42807869694.836235</v>
      </c>
      <c r="C10" s="35">
        <f t="shared" ref="C10:X10" si="0">+C12+C16+C20</f>
        <v>200885709</v>
      </c>
      <c r="D10" s="35">
        <f t="shared" si="0"/>
        <v>0</v>
      </c>
      <c r="E10" s="34">
        <f t="shared" si="0"/>
        <v>-548241099</v>
      </c>
      <c r="F10" s="34">
        <f t="shared" si="0"/>
        <v>-3491046609</v>
      </c>
      <c r="G10" s="36">
        <f>+G12+G16+G20</f>
        <v>38969467695.836235</v>
      </c>
      <c r="H10" s="37">
        <f t="shared" si="0"/>
        <v>9383149469.0138206</v>
      </c>
      <c r="I10" s="38">
        <f t="shared" si="0"/>
        <v>-1898349636.0138199</v>
      </c>
      <c r="J10" s="39">
        <f t="shared" si="0"/>
        <v>7484799833</v>
      </c>
      <c r="K10" s="37">
        <f t="shared" si="0"/>
        <v>11689889104.010651</v>
      </c>
      <c r="L10" s="40">
        <f>+L12+L16+L20</f>
        <v>-1865403404</v>
      </c>
      <c r="M10" s="37">
        <f>+M12+M16+M20</f>
        <v>9824485700.0106506</v>
      </c>
      <c r="N10" s="37">
        <f>+N12+N16+N20</f>
        <v>10371380570.139324</v>
      </c>
      <c r="O10" s="40">
        <f t="shared" si="0"/>
        <v>-1150593651.7643239</v>
      </c>
      <c r="P10" s="37">
        <f>+P12+P16+P20</f>
        <v>9220786918.375</v>
      </c>
      <c r="Q10" s="37">
        <f t="shared" si="0"/>
        <v>11092778996.326042</v>
      </c>
      <c r="R10" s="37">
        <f t="shared" si="0"/>
        <v>1151566042.9372063</v>
      </c>
      <c r="S10" s="37">
        <f t="shared" si="0"/>
        <v>12244345039.263248</v>
      </c>
      <c r="T10" s="37">
        <f>+T12+T16+T20</f>
        <v>38774417490.648895</v>
      </c>
      <c r="U10" s="37">
        <f>+U12+U16+U20</f>
        <v>7484799832.4499998</v>
      </c>
      <c r="V10" s="41">
        <f>+V12+V16+V20</f>
        <v>9824485700</v>
      </c>
      <c r="W10" s="41">
        <f t="shared" si="0"/>
        <v>9220786918.375</v>
      </c>
      <c r="X10" s="41">
        <f t="shared" si="0"/>
        <v>12244345040</v>
      </c>
      <c r="Y10" s="42">
        <f>+Y12+Y16+Y20</f>
        <v>38774417490.824997</v>
      </c>
      <c r="Z10" s="43">
        <f>+Y10-G10</f>
        <v>-195050205.0112381</v>
      </c>
      <c r="AA10" s="44">
        <f>IFERROR(Y10/G10,0)</f>
        <v>0.99499479421854975</v>
      </c>
    </row>
    <row r="11" spans="1:42" s="4" customFormat="1" ht="13.5" customHeight="1" x14ac:dyDescent="0.3">
      <c r="A11" s="45"/>
      <c r="B11" s="46"/>
      <c r="C11" s="46"/>
      <c r="D11" s="47"/>
      <c r="E11" s="46"/>
      <c r="F11" s="46"/>
      <c r="G11" s="46"/>
      <c r="H11" s="48"/>
      <c r="I11" s="49"/>
      <c r="J11" s="50"/>
      <c r="K11" s="48"/>
      <c r="L11" s="40"/>
      <c r="M11" s="48"/>
      <c r="N11" s="48"/>
      <c r="O11" s="48"/>
      <c r="P11" s="48"/>
      <c r="Q11" s="48"/>
      <c r="R11" s="48"/>
      <c r="S11" s="48"/>
      <c r="T11" s="51"/>
      <c r="U11" s="51"/>
      <c r="V11" s="46"/>
      <c r="W11" s="46"/>
      <c r="X11" s="46"/>
      <c r="Y11" s="46"/>
      <c r="Z11" s="47"/>
      <c r="AA11" s="52"/>
    </row>
    <row r="12" spans="1:42" s="4" customFormat="1" ht="15.75" x14ac:dyDescent="0.3">
      <c r="A12" s="53" t="s">
        <v>30</v>
      </c>
      <c r="B12" s="54">
        <f>+B13+B14</f>
        <v>33723509408.687794</v>
      </c>
      <c r="C12" s="36">
        <f>+C13+C14</f>
        <v>-796339904</v>
      </c>
      <c r="D12" s="36">
        <f>+D13+D14</f>
        <v>0</v>
      </c>
      <c r="E12" s="36">
        <f>+E13+E14</f>
        <v>-548241099</v>
      </c>
      <c r="F12" s="36"/>
      <c r="G12" s="36">
        <f>+G13+G14</f>
        <v>32378928405.687794</v>
      </c>
      <c r="H12" s="36">
        <f t="shared" ref="H12:P12" si="1">+SUM(H13:H14)</f>
        <v>7477564464</v>
      </c>
      <c r="I12" s="40">
        <f t="shared" si="1"/>
        <v>-75534810</v>
      </c>
      <c r="J12" s="55">
        <f t="shared" si="1"/>
        <v>7402029654</v>
      </c>
      <c r="K12" s="36">
        <f t="shared" si="1"/>
        <v>7956338030.625</v>
      </c>
      <c r="L12" s="40">
        <f t="shared" si="1"/>
        <v>-348450491</v>
      </c>
      <c r="M12" s="36">
        <f t="shared" si="1"/>
        <v>7607887539.625</v>
      </c>
      <c r="N12" s="36">
        <f t="shared" si="1"/>
        <v>8405091363</v>
      </c>
      <c r="O12" s="36">
        <f t="shared" si="1"/>
        <v>19212193</v>
      </c>
      <c r="P12" s="36">
        <f t="shared" si="1"/>
        <v>8424303556</v>
      </c>
      <c r="Q12" s="36">
        <f>+Q13+Q14</f>
        <v>8944707656.0627937</v>
      </c>
      <c r="R12" s="36">
        <f t="shared" ref="R12:Y12" si="2">+SUM(R13:R14)</f>
        <v>-26708330.062793732</v>
      </c>
      <c r="S12" s="36">
        <f t="shared" si="2"/>
        <v>8917999326</v>
      </c>
      <c r="T12" s="36">
        <f t="shared" si="2"/>
        <v>32352220075.625</v>
      </c>
      <c r="U12" s="36">
        <f t="shared" si="2"/>
        <v>7402029653.4499998</v>
      </c>
      <c r="V12" s="56">
        <f t="shared" si="2"/>
        <v>7607887540</v>
      </c>
      <c r="W12" s="36">
        <f t="shared" si="2"/>
        <v>8424303556</v>
      </c>
      <c r="X12" s="36">
        <f t="shared" si="2"/>
        <v>8917999326</v>
      </c>
      <c r="Y12" s="36">
        <f t="shared" si="2"/>
        <v>32352220075.450001</v>
      </c>
      <c r="Z12" s="55">
        <f>+Y12-G12</f>
        <v>-26708330.237792969</v>
      </c>
      <c r="AA12" s="44">
        <f>IFERROR(Y12/G12,0)</f>
        <v>0.99917513236067745</v>
      </c>
    </row>
    <row r="13" spans="1:42" s="4" customFormat="1" ht="15.75" x14ac:dyDescent="0.3">
      <c r="A13" s="45" t="s">
        <v>31</v>
      </c>
      <c r="B13" s="46">
        <v>21077193380.429871</v>
      </c>
      <c r="C13" s="46">
        <v>-497712440</v>
      </c>
      <c r="D13" s="47"/>
      <c r="E13" s="46">
        <v>-342650687</v>
      </c>
      <c r="F13" s="46"/>
      <c r="G13" s="46">
        <f>+SUM(B13:F13)</f>
        <v>20236830253.429871</v>
      </c>
      <c r="H13" s="51">
        <v>4673477790</v>
      </c>
      <c r="I13" s="57">
        <v>-47209256</v>
      </c>
      <c r="J13" s="58">
        <f>+H13+I13</f>
        <v>4626268534</v>
      </c>
      <c r="K13" s="59">
        <v>4972711269</v>
      </c>
      <c r="L13" s="57">
        <v>-217781556</v>
      </c>
      <c r="M13" s="59">
        <f>+K13+L13</f>
        <v>4754929713</v>
      </c>
      <c r="N13" s="60">
        <v>5253182101.875</v>
      </c>
      <c r="O13" s="60">
        <v>12007620</v>
      </c>
      <c r="P13" s="51">
        <f>+N13+O13</f>
        <v>5265189721.875</v>
      </c>
      <c r="Q13" s="51">
        <v>5590442284.5548706</v>
      </c>
      <c r="R13" s="51">
        <f>+X13-Q13</f>
        <v>-16692705.679870605</v>
      </c>
      <c r="S13" s="51">
        <f>+Q13+R13</f>
        <v>5573749578.875</v>
      </c>
      <c r="T13" s="51">
        <f>+J13+M13+P13+S13</f>
        <v>20220137547.75</v>
      </c>
      <c r="U13" s="51">
        <f>(+'[1]CONCILIACIÓN INGRESOS'!D8+'[1]CONCILIACIÓN INGRESOS'!E7+'[1]CONCILIACIÓN INGRESOS'!F7+'[1]CONCILIACIÓN INGRESOS'!G7)*62.5%-57108281</f>
        <v>4626268533.65625</v>
      </c>
      <c r="V13" s="61">
        <f>37002732+1397416708+1698027196+1639102864-16619787</f>
        <v>4754929713</v>
      </c>
      <c r="W13" s="62">
        <f>+'[1]CONCILIACIÓN INGRESOS'!H38*62.5%-1452722</f>
        <v>5265189722.375</v>
      </c>
      <c r="X13" s="51">
        <f>+'[1]CONCILIACIÓN INGRESOS'!H55*62.5%-7105538</f>
        <v>5573749578.875</v>
      </c>
      <c r="Y13" s="51">
        <f>+U13+V13+W13+X13</f>
        <v>20220137547.90625</v>
      </c>
      <c r="Z13" s="58">
        <f>+Y13-G13</f>
        <v>-16692705.523620605</v>
      </c>
      <c r="AA13" s="63">
        <f>IFERROR(Y13/G13,0)</f>
        <v>0.99917513240391032</v>
      </c>
    </row>
    <row r="14" spans="1:42" s="4" customFormat="1" ht="15.75" x14ac:dyDescent="0.3">
      <c r="A14" s="45" t="s">
        <v>32</v>
      </c>
      <c r="B14" s="46">
        <v>12646316028.257923</v>
      </c>
      <c r="C14" s="46">
        <v>-298627464</v>
      </c>
      <c r="D14" s="47"/>
      <c r="E14" s="46">
        <v>-205590412</v>
      </c>
      <c r="F14" s="46"/>
      <c r="G14" s="46">
        <f>+SUM(B14:F14)</f>
        <v>12142098152.257923</v>
      </c>
      <c r="H14" s="51">
        <v>2804086674</v>
      </c>
      <c r="I14" s="57">
        <v>-28325554</v>
      </c>
      <c r="J14" s="58">
        <f>+H14+I14</f>
        <v>2775761120</v>
      </c>
      <c r="K14" s="59">
        <v>2983626761.625</v>
      </c>
      <c r="L14" s="57">
        <v>-130668935</v>
      </c>
      <c r="M14" s="59">
        <f>+K14+L14</f>
        <v>2852957826.625</v>
      </c>
      <c r="N14" s="60">
        <v>3151909261.125</v>
      </c>
      <c r="O14" s="60">
        <v>7204573</v>
      </c>
      <c r="P14" s="51">
        <f>+N14+O14</f>
        <v>3159113834.125</v>
      </c>
      <c r="Q14" s="51">
        <v>3354265371.5079231</v>
      </c>
      <c r="R14" s="51">
        <f>+X14-Q14</f>
        <v>-10015624.382923126</v>
      </c>
      <c r="S14" s="51">
        <f>+Q14+R14</f>
        <v>3344249747.125</v>
      </c>
      <c r="T14" s="51">
        <f>+J14+M14+P14+S14</f>
        <v>12132082527.875</v>
      </c>
      <c r="U14" s="51">
        <f>(+'[1]CONCILIACIÓN INGRESOS'!D8+'[1]CONCILIACIÓN INGRESOS'!E7+'[1]CONCILIACIÓN INGRESOS'!F7+'[1]CONCILIACIÓN INGRESOS'!G7)*37.5%-34264969</f>
        <v>2775761119.7937498</v>
      </c>
      <c r="V14" s="61">
        <f>22201640+838450025+1018816317+983461718-9971873</f>
        <v>2852957827</v>
      </c>
      <c r="W14" s="62">
        <f>+'[1]CONCILIACIÓN INGRESOS'!H38*37.5%-871633</f>
        <v>3159113833.625</v>
      </c>
      <c r="X14" s="51">
        <f>+'[1]CONCILIACIÓN INGRESOS'!H55*37.5%-4263323</f>
        <v>3344249747.125</v>
      </c>
      <c r="Y14" s="51">
        <f>+U14+V14+W14+X14</f>
        <v>12132082527.543751</v>
      </c>
      <c r="Z14" s="58">
        <f>+Y14-G14</f>
        <v>-10015624.714172363</v>
      </c>
      <c r="AA14" s="63">
        <f>IFERROR(Y14/G14,0)</f>
        <v>0.99917513228862265</v>
      </c>
    </row>
    <row r="15" spans="1:42" s="4" customFormat="1" ht="15.75" x14ac:dyDescent="0.3">
      <c r="A15" s="45"/>
      <c r="B15" s="46"/>
      <c r="C15" s="46"/>
      <c r="D15" s="47"/>
      <c r="E15" s="46"/>
      <c r="F15" s="46"/>
      <c r="G15" s="46"/>
      <c r="H15" s="51"/>
      <c r="I15" s="57"/>
      <c r="J15" s="58" t="s">
        <v>33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46"/>
      <c r="W15" s="62"/>
      <c r="X15" s="64"/>
      <c r="Y15" s="46"/>
      <c r="Z15" s="47"/>
      <c r="AA15" s="52"/>
    </row>
    <row r="16" spans="1:42" s="4" customFormat="1" ht="15.75" x14ac:dyDescent="0.3">
      <c r="A16" s="65" t="s">
        <v>34</v>
      </c>
      <c r="B16" s="36">
        <f>+B17+B18</f>
        <v>300000000</v>
      </c>
      <c r="C16" s="55">
        <f>+C17+C18</f>
        <v>0</v>
      </c>
      <c r="D16" s="55">
        <f>+D17+D18</f>
        <v>0</v>
      </c>
      <c r="E16" s="36">
        <f>+E17+E18</f>
        <v>0</v>
      </c>
      <c r="F16" s="36"/>
      <c r="G16" s="48">
        <f t="shared" ref="G16:Y16" si="3">+SUM(G17:G18)</f>
        <v>300000000</v>
      </c>
      <c r="H16" s="48">
        <f t="shared" si="3"/>
        <v>200000000</v>
      </c>
      <c r="I16" s="49">
        <f t="shared" si="3"/>
        <v>-108626750</v>
      </c>
      <c r="J16" s="50">
        <f t="shared" si="3"/>
        <v>91373250</v>
      </c>
      <c r="K16" s="48">
        <f t="shared" si="3"/>
        <v>33000000</v>
      </c>
      <c r="L16" s="40">
        <f t="shared" si="3"/>
        <v>-6408340</v>
      </c>
      <c r="M16" s="48">
        <f t="shared" si="3"/>
        <v>26591660</v>
      </c>
      <c r="N16" s="48">
        <f t="shared" si="3"/>
        <v>10289885</v>
      </c>
      <c r="O16" s="36">
        <f t="shared" si="3"/>
        <v>-7965530</v>
      </c>
      <c r="P16" s="48">
        <f t="shared" si="3"/>
        <v>2324355</v>
      </c>
      <c r="Q16" s="48">
        <f t="shared" si="3"/>
        <v>114147405</v>
      </c>
      <c r="R16" s="48">
        <f t="shared" si="3"/>
        <v>-102778545</v>
      </c>
      <c r="S16" s="48">
        <f t="shared" si="3"/>
        <v>11368860</v>
      </c>
      <c r="T16" s="48">
        <f t="shared" si="3"/>
        <v>131658125</v>
      </c>
      <c r="U16" s="48">
        <f t="shared" si="3"/>
        <v>91373250</v>
      </c>
      <c r="V16" s="48">
        <f t="shared" si="3"/>
        <v>26591660</v>
      </c>
      <c r="W16" s="48">
        <f t="shared" si="3"/>
        <v>2324355</v>
      </c>
      <c r="X16" s="48">
        <f t="shared" si="3"/>
        <v>11368860</v>
      </c>
      <c r="Y16" s="48">
        <f t="shared" si="3"/>
        <v>131658125</v>
      </c>
      <c r="Z16" s="55">
        <f>+Y16-G16</f>
        <v>-168341875</v>
      </c>
      <c r="AA16" s="66">
        <f>IFERROR(Y16/G16,0)</f>
        <v>0.43886041666666664</v>
      </c>
    </row>
    <row r="17" spans="1:27" s="4" customFormat="1" ht="15.75" x14ac:dyDescent="0.3">
      <c r="A17" s="45" t="s">
        <v>31</v>
      </c>
      <c r="B17" s="46">
        <v>187500000</v>
      </c>
      <c r="C17" s="46"/>
      <c r="D17" s="47"/>
      <c r="E17" s="46"/>
      <c r="F17" s="46"/>
      <c r="G17" s="46">
        <f>+SUM(B17:F17)</f>
        <v>187500000</v>
      </c>
      <c r="H17" s="51">
        <v>125000000</v>
      </c>
      <c r="I17" s="57">
        <f>-H17+U17</f>
        <v>-67891718.75</v>
      </c>
      <c r="J17" s="58">
        <f>+H17+I17</f>
        <v>57108281.25</v>
      </c>
      <c r="K17" s="51">
        <v>20625000</v>
      </c>
      <c r="L17" s="57">
        <v>-4005213</v>
      </c>
      <c r="M17" s="59">
        <f>+K17+L17</f>
        <v>16619787</v>
      </c>
      <c r="N17" s="51">
        <v>6431178</v>
      </c>
      <c r="O17" s="62">
        <v>-4978456</v>
      </c>
      <c r="P17" s="51">
        <f>+N17+O17</f>
        <v>1452722</v>
      </c>
      <c r="Q17" s="51">
        <v>71342128</v>
      </c>
      <c r="R17" s="51">
        <f>+X17-Q17</f>
        <v>-64236590.5</v>
      </c>
      <c r="S17" s="51">
        <f>+Q17+R17</f>
        <v>7105537.5</v>
      </c>
      <c r="T17" s="51">
        <f>+J17+M17+P17+S17</f>
        <v>82286327.75</v>
      </c>
      <c r="U17" s="51">
        <v>57108281.25</v>
      </c>
      <c r="V17" s="46">
        <v>16619787</v>
      </c>
      <c r="W17" s="62">
        <v>1452722</v>
      </c>
      <c r="X17" s="64">
        <v>7105537.5</v>
      </c>
      <c r="Y17" s="51">
        <f>+U17+V17+W17+X17</f>
        <v>82286327.75</v>
      </c>
      <c r="Z17" s="58">
        <f>+Y17-G17</f>
        <v>-105213672.25</v>
      </c>
      <c r="AA17" s="67">
        <f>IFERROR(Y17/G17,0)</f>
        <v>0.43886041466666664</v>
      </c>
    </row>
    <row r="18" spans="1:27" s="4" customFormat="1" ht="15.75" x14ac:dyDescent="0.3">
      <c r="A18" s="45" t="s">
        <v>32</v>
      </c>
      <c r="B18" s="46">
        <v>112500000</v>
      </c>
      <c r="C18" s="46"/>
      <c r="D18" s="47">
        <v>0</v>
      </c>
      <c r="E18" s="46"/>
      <c r="F18" s="46"/>
      <c r="G18" s="46">
        <f>+SUM(B18:F18)</f>
        <v>112500000</v>
      </c>
      <c r="H18" s="51">
        <v>75000000</v>
      </c>
      <c r="I18" s="57">
        <f>-H18+U18</f>
        <v>-40735031.25</v>
      </c>
      <c r="J18" s="58">
        <f>+H18+I18</f>
        <v>34264968.75</v>
      </c>
      <c r="K18" s="51">
        <v>12375000</v>
      </c>
      <c r="L18" s="57">
        <v>-2403127</v>
      </c>
      <c r="M18" s="59">
        <f>+K18+L18</f>
        <v>9971873</v>
      </c>
      <c r="N18" s="51">
        <v>3858707</v>
      </c>
      <c r="O18" s="62">
        <v>-2987074</v>
      </c>
      <c r="P18" s="51">
        <f>+N18+O18</f>
        <v>871633</v>
      </c>
      <c r="Q18" s="51">
        <v>42805277</v>
      </c>
      <c r="R18" s="51">
        <f>+X18-Q18</f>
        <v>-38541954.5</v>
      </c>
      <c r="S18" s="51">
        <f>+Q18+R18</f>
        <v>4263322.5</v>
      </c>
      <c r="T18" s="51">
        <f>+J18+M18+P18+S18</f>
        <v>49371797.25</v>
      </c>
      <c r="U18" s="51">
        <v>34264968.75</v>
      </c>
      <c r="V18" s="46">
        <v>9971873</v>
      </c>
      <c r="W18" s="62">
        <v>871633</v>
      </c>
      <c r="X18" s="64">
        <v>4263322.5</v>
      </c>
      <c r="Y18" s="51">
        <f>+U18+V18+W18+X18</f>
        <v>49371797.25</v>
      </c>
      <c r="Z18" s="58">
        <f>+Y18-G18</f>
        <v>-63128202.75</v>
      </c>
      <c r="AA18" s="67">
        <f>IFERROR(Y18/G18,0)</f>
        <v>0.43886041999999997</v>
      </c>
    </row>
    <row r="19" spans="1:27" s="4" customFormat="1" ht="15.75" x14ac:dyDescent="0.3">
      <c r="A19" s="45"/>
      <c r="B19" s="46"/>
      <c r="C19" s="46"/>
      <c r="D19" s="47"/>
      <c r="E19" s="46"/>
      <c r="F19" s="46"/>
      <c r="G19" s="46"/>
      <c r="H19" s="51"/>
      <c r="I19" s="57"/>
      <c r="J19" s="58"/>
      <c r="K19" s="51"/>
      <c r="L19" s="68"/>
      <c r="M19" s="51"/>
      <c r="N19" s="51"/>
      <c r="O19" s="51"/>
      <c r="P19" s="51"/>
      <c r="Q19" s="51"/>
      <c r="R19" s="51"/>
      <c r="S19" s="51"/>
      <c r="T19" s="51"/>
      <c r="U19" s="51"/>
      <c r="V19" s="64"/>
      <c r="W19" s="46"/>
      <c r="X19" s="46"/>
      <c r="Y19" s="46"/>
      <c r="Z19" s="47"/>
      <c r="AA19" s="69"/>
    </row>
    <row r="20" spans="1:27" s="4" customFormat="1" ht="15.75" x14ac:dyDescent="0.3">
      <c r="A20" s="65" t="s">
        <v>35</v>
      </c>
      <c r="B20" s="36">
        <f t="shared" ref="B20:X20" si="4">+B21+B22</f>
        <v>8784360286.1484413</v>
      </c>
      <c r="C20" s="55">
        <f>+C21+C22</f>
        <v>997225613</v>
      </c>
      <c r="D20" s="55">
        <f t="shared" si="4"/>
        <v>0</v>
      </c>
      <c r="E20" s="36">
        <f>+E21+E22</f>
        <v>0</v>
      </c>
      <c r="F20" s="36">
        <f>+F21+F22</f>
        <v>-3491046609</v>
      </c>
      <c r="G20" s="48">
        <f t="shared" si="4"/>
        <v>6290539290.1484413</v>
      </c>
      <c r="H20" s="48">
        <f t="shared" si="4"/>
        <v>1705585005.0138199</v>
      </c>
      <c r="I20" s="49">
        <f t="shared" si="4"/>
        <v>-1714188076.0138199</v>
      </c>
      <c r="J20" s="50">
        <f>+J21+J22</f>
        <v>-8603071</v>
      </c>
      <c r="K20" s="48">
        <f t="shared" si="4"/>
        <v>3700551073.3856497</v>
      </c>
      <c r="L20" s="40">
        <f>+L21+L22</f>
        <v>-1510544573</v>
      </c>
      <c r="M20" s="48">
        <f>+M21+M22</f>
        <v>2190006500.3856497</v>
      </c>
      <c r="N20" s="48">
        <f t="shared" si="4"/>
        <v>1955999322.1393239</v>
      </c>
      <c r="O20" s="40">
        <f t="shared" si="4"/>
        <v>-1161840314.7643239</v>
      </c>
      <c r="P20" s="48">
        <f>+P21+P22</f>
        <v>794159007.375</v>
      </c>
      <c r="Q20" s="48">
        <f t="shared" si="4"/>
        <v>2033923935.2632489</v>
      </c>
      <c r="R20" s="48">
        <f t="shared" si="4"/>
        <v>1281052918</v>
      </c>
      <c r="S20" s="48">
        <f t="shared" si="4"/>
        <v>3314976853.2632494</v>
      </c>
      <c r="T20" s="48">
        <f t="shared" si="4"/>
        <v>6290539290.0238991</v>
      </c>
      <c r="U20" s="48">
        <f t="shared" si="4"/>
        <v>-8603071</v>
      </c>
      <c r="V20" s="48">
        <f>+V21+V22</f>
        <v>2190006500</v>
      </c>
      <c r="W20" s="48">
        <f>+W21+W22</f>
        <v>794159007.375</v>
      </c>
      <c r="X20" s="48">
        <f t="shared" si="4"/>
        <v>3314976854</v>
      </c>
      <c r="Y20" s="48">
        <f>+Y21+Y22</f>
        <v>6290539290.375</v>
      </c>
      <c r="Z20" s="50">
        <f>+Y20-G20</f>
        <v>0.22655868530273438</v>
      </c>
      <c r="AA20" s="66">
        <f>IFERROR(Y20/G20,0)</f>
        <v>1.0000000000360159</v>
      </c>
    </row>
    <row r="21" spans="1:27" s="4" customFormat="1" ht="15.75" x14ac:dyDescent="0.3">
      <c r="A21" s="45" t="s">
        <v>31</v>
      </c>
      <c r="B21" s="64">
        <v>2320949116.6661606</v>
      </c>
      <c r="C21" s="64">
        <v>288736578</v>
      </c>
      <c r="D21" s="70"/>
      <c r="E21" s="64"/>
      <c r="F21" s="64">
        <v>-746161368</v>
      </c>
      <c r="G21" s="46">
        <f>+SUM(B21:F21)</f>
        <v>1863524326.6661606</v>
      </c>
      <c r="H21" s="51"/>
      <c r="I21" s="57"/>
      <c r="J21" s="58">
        <f>+H21+I21</f>
        <v>0</v>
      </c>
      <c r="K21" s="59">
        <v>1935194382</v>
      </c>
      <c r="L21" s="57">
        <v>-701812172</v>
      </c>
      <c r="M21" s="59">
        <f>+K21+L21</f>
        <v>1233382210</v>
      </c>
      <c r="N21" s="51">
        <v>1160897085</v>
      </c>
      <c r="O21" s="57">
        <v>-1160897085</v>
      </c>
      <c r="P21" s="51">
        <f>+N21+O21</f>
        <v>0</v>
      </c>
      <c r="Q21" s="51">
        <v>583960701.90241897</v>
      </c>
      <c r="R21" s="51">
        <v>46181414.5</v>
      </c>
      <c r="S21" s="51">
        <f>+Q21+R21</f>
        <v>630142116.40241897</v>
      </c>
      <c r="T21" s="51">
        <f>+J21+M21+P21+S21</f>
        <v>1863524326.4024191</v>
      </c>
      <c r="U21" s="51"/>
      <c r="V21" s="64">
        <v>1233382210</v>
      </c>
      <c r="W21" s="62"/>
      <c r="X21" s="64">
        <v>630142117</v>
      </c>
      <c r="Y21" s="51">
        <f>+U21+V21+W21+X21</f>
        <v>1863524327</v>
      </c>
      <c r="Z21" s="58">
        <f>+Y21-G21</f>
        <v>0.33383941650390625</v>
      </c>
      <c r="AA21" s="67">
        <f>IFERROR(Y21/G21,0)</f>
        <v>1.000000000179144</v>
      </c>
    </row>
    <row r="22" spans="1:27" s="4" customFormat="1" ht="15.75" x14ac:dyDescent="0.3">
      <c r="A22" s="45" t="s">
        <v>32</v>
      </c>
      <c r="B22" s="46">
        <v>6463411169.4822807</v>
      </c>
      <c r="C22" s="64">
        <f>717092106-8603071</f>
        <v>708489035</v>
      </c>
      <c r="D22" s="47"/>
      <c r="E22" s="46"/>
      <c r="F22" s="46">
        <v>-2744885241</v>
      </c>
      <c r="G22" s="46">
        <f>+SUM(B22:F22)</f>
        <v>4427014963.4822807</v>
      </c>
      <c r="H22" s="51">
        <v>1705585005.0138199</v>
      </c>
      <c r="I22" s="57">
        <v>-1714188076.0138199</v>
      </c>
      <c r="J22" s="58">
        <f>+H22+I22</f>
        <v>-8603071</v>
      </c>
      <c r="K22" s="59">
        <v>1765356691.3856499</v>
      </c>
      <c r="L22" s="57">
        <v>-808732401</v>
      </c>
      <c r="M22" s="59">
        <f>+K22+L22</f>
        <v>956624290.38564992</v>
      </c>
      <c r="N22" s="51">
        <v>795102237.13932395</v>
      </c>
      <c r="O22" s="57">
        <v>-943229.76432395005</v>
      </c>
      <c r="P22" s="51">
        <f>+N22+O22</f>
        <v>794159007.375</v>
      </c>
      <c r="Q22" s="51">
        <v>1449963233.3608301</v>
      </c>
      <c r="R22" s="51">
        <v>1234871503.5</v>
      </c>
      <c r="S22" s="51">
        <f>+Q22+R22</f>
        <v>2684834736.8608303</v>
      </c>
      <c r="T22" s="51">
        <f>+J22+M22+P22+S22</f>
        <v>4427014963.62148</v>
      </c>
      <c r="U22" s="51">
        <v>-8603071</v>
      </c>
      <c r="V22" s="46">
        <v>956624290</v>
      </c>
      <c r="W22" s="51">
        <v>794159007.375</v>
      </c>
      <c r="X22" s="64">
        <v>2684834737</v>
      </c>
      <c r="Y22" s="51">
        <f>+U22+V22+W22+X22</f>
        <v>4427014963.375</v>
      </c>
      <c r="Z22" s="58">
        <f>+Y22-G22</f>
        <v>-0.10728073120117188</v>
      </c>
      <c r="AA22" s="67">
        <f>IFERROR(Y22/G22,0)</f>
        <v>0.99999999997576683</v>
      </c>
    </row>
    <row r="23" spans="1:27" s="4" customFormat="1" ht="15.75" x14ac:dyDescent="0.3">
      <c r="A23" s="45"/>
      <c r="B23" s="46"/>
      <c r="C23" s="46"/>
      <c r="D23" s="47"/>
      <c r="E23" s="46"/>
      <c r="F23" s="46"/>
      <c r="G23" s="46"/>
      <c r="H23" s="51"/>
      <c r="I23" s="57"/>
      <c r="J23" s="58"/>
      <c r="K23" s="51"/>
      <c r="L23" s="68"/>
      <c r="M23" s="51"/>
      <c r="N23" s="51"/>
      <c r="O23" s="51"/>
      <c r="P23" s="51"/>
      <c r="Q23" s="51"/>
      <c r="R23" s="51"/>
      <c r="S23" s="51"/>
      <c r="T23" s="51"/>
      <c r="U23" s="51"/>
      <c r="V23" s="46"/>
      <c r="W23" s="46"/>
      <c r="X23" s="46"/>
      <c r="Y23" s="71"/>
      <c r="Z23" s="47"/>
      <c r="AA23" s="69"/>
    </row>
    <row r="24" spans="1:27" s="4" customFormat="1" ht="15.75" x14ac:dyDescent="0.3">
      <c r="A24" s="65" t="s">
        <v>36</v>
      </c>
      <c r="B24" s="36">
        <f>+B26+B30</f>
        <v>2853695228.1033931</v>
      </c>
      <c r="C24" s="55">
        <f>+C26+C30</f>
        <v>0</v>
      </c>
      <c r="D24" s="40">
        <f>+D26+D30</f>
        <v>149163007</v>
      </c>
      <c r="E24" s="72">
        <f>+E26+E30</f>
        <v>-31500000</v>
      </c>
      <c r="F24" s="72"/>
      <c r="G24" s="55">
        <f>+G26+G30</f>
        <v>2971358235.1033931</v>
      </c>
      <c r="H24" s="55">
        <f t="shared" ref="H24:X24" si="5">+H26+H30</f>
        <v>706666750.56299996</v>
      </c>
      <c r="I24" s="49">
        <f>+I26+I30</f>
        <v>24137024.436999977</v>
      </c>
      <c r="J24" s="55">
        <f t="shared" si="5"/>
        <v>730803775</v>
      </c>
      <c r="K24" s="36">
        <f>+K26+K30</f>
        <v>768419662.375</v>
      </c>
      <c r="L24" s="55">
        <f t="shared" si="5"/>
        <v>165549689.5</v>
      </c>
      <c r="M24" s="55">
        <f>+M26+M30</f>
        <v>933969351.875</v>
      </c>
      <c r="N24" s="55">
        <f t="shared" si="5"/>
        <v>1059687542</v>
      </c>
      <c r="O24" s="55">
        <f t="shared" si="5"/>
        <v>-780742795.5</v>
      </c>
      <c r="P24" s="55">
        <f t="shared" si="5"/>
        <v>278944746.5</v>
      </c>
      <c r="Q24" s="55">
        <f t="shared" si="5"/>
        <v>1027184306.0712502</v>
      </c>
      <c r="R24" s="55">
        <f t="shared" si="5"/>
        <v>-31046294.0712502</v>
      </c>
      <c r="S24" s="55">
        <f t="shared" si="5"/>
        <v>996138012</v>
      </c>
      <c r="T24" s="55">
        <f t="shared" si="5"/>
        <v>2939855885.375</v>
      </c>
      <c r="U24" s="55">
        <f t="shared" si="5"/>
        <v>730803775</v>
      </c>
      <c r="V24" s="55">
        <f>+V26+V30</f>
        <v>933969352</v>
      </c>
      <c r="W24" s="55">
        <f>+W26+W30</f>
        <v>278944747</v>
      </c>
      <c r="X24" s="55">
        <f t="shared" si="5"/>
        <v>996138012</v>
      </c>
      <c r="Y24" s="55">
        <f>+Y26+Y30</f>
        <v>2939855886</v>
      </c>
      <c r="Z24" s="55">
        <f>+Y24-G24</f>
        <v>-31502349.103393078</v>
      </c>
      <c r="AA24" s="66">
        <f>IFERROR(Y24/G24,0)</f>
        <v>0.98939799693916852</v>
      </c>
    </row>
    <row r="25" spans="1:27" s="4" customFormat="1" ht="15.75" x14ac:dyDescent="0.3">
      <c r="A25" s="45"/>
      <c r="B25" s="46"/>
      <c r="C25" s="46"/>
      <c r="D25" s="47"/>
      <c r="E25" s="46"/>
      <c r="F25" s="46"/>
      <c r="G25" s="46"/>
      <c r="H25" s="48"/>
      <c r="I25" s="49"/>
      <c r="J25" s="50"/>
      <c r="K25" s="48"/>
      <c r="L25" s="40"/>
      <c r="M25" s="48"/>
      <c r="N25" s="48"/>
      <c r="O25" s="48"/>
      <c r="P25" s="48"/>
      <c r="Q25" s="48"/>
      <c r="R25" s="48"/>
      <c r="S25" s="48"/>
      <c r="T25" s="51"/>
      <c r="U25" s="51"/>
      <c r="V25" s="46"/>
      <c r="W25" s="46"/>
      <c r="X25" s="46"/>
      <c r="Y25" s="46"/>
      <c r="Z25" s="47"/>
      <c r="AA25" s="69"/>
    </row>
    <row r="26" spans="1:27" s="4" customFormat="1" ht="15.75" x14ac:dyDescent="0.3">
      <c r="A26" s="65" t="s">
        <v>37</v>
      </c>
      <c r="B26" s="36">
        <f>SUM(B27:B28)</f>
        <v>430877166</v>
      </c>
      <c r="C26" s="55">
        <f t="shared" ref="C26:Y26" si="6">SUM(C27:C28)</f>
        <v>0</v>
      </c>
      <c r="D26" s="55">
        <f t="shared" si="6"/>
        <v>0</v>
      </c>
      <c r="E26" s="36">
        <f t="shared" si="6"/>
        <v>0</v>
      </c>
      <c r="F26" s="36"/>
      <c r="G26" s="55">
        <f t="shared" si="6"/>
        <v>430877166</v>
      </c>
      <c r="H26" s="55">
        <f>SUM(H27:H28)</f>
        <v>107719291.5</v>
      </c>
      <c r="I26" s="40">
        <f t="shared" si="6"/>
        <v>13501641.5</v>
      </c>
      <c r="J26" s="55">
        <f t="shared" si="6"/>
        <v>121220933</v>
      </c>
      <c r="K26" s="36">
        <f t="shared" si="6"/>
        <v>107719291.5</v>
      </c>
      <c r="L26" s="40">
        <f t="shared" si="6"/>
        <v>7818181</v>
      </c>
      <c r="M26" s="55">
        <f>SUM(M27:M28)</f>
        <v>115537472.5</v>
      </c>
      <c r="N26" s="55">
        <f t="shared" si="6"/>
        <v>107719291.5</v>
      </c>
      <c r="O26" s="40">
        <f t="shared" si="6"/>
        <v>-40015420.5</v>
      </c>
      <c r="P26" s="55">
        <f>SUM(P27:P28)</f>
        <v>67703871</v>
      </c>
      <c r="Q26" s="55">
        <f t="shared" si="6"/>
        <v>92852539.5</v>
      </c>
      <c r="R26" s="55">
        <f t="shared" si="6"/>
        <v>-30262704.5</v>
      </c>
      <c r="S26" s="55">
        <f t="shared" si="6"/>
        <v>62589835</v>
      </c>
      <c r="T26" s="55">
        <f t="shared" si="6"/>
        <v>367052111.5</v>
      </c>
      <c r="U26" s="55">
        <f t="shared" si="6"/>
        <v>121220933</v>
      </c>
      <c r="V26" s="55">
        <f>SUM(V27:V28)</f>
        <v>115537473</v>
      </c>
      <c r="W26" s="55">
        <f>SUM(W27:W28)</f>
        <v>67703871</v>
      </c>
      <c r="X26" s="55">
        <f t="shared" si="6"/>
        <v>62589835</v>
      </c>
      <c r="Y26" s="55">
        <f t="shared" si="6"/>
        <v>367052112</v>
      </c>
      <c r="Z26" s="55">
        <f>+Y26-G26</f>
        <v>-63825054</v>
      </c>
      <c r="AA26" s="66">
        <f>IFERROR(Y26/G26,0)</f>
        <v>0.85187181165223314</v>
      </c>
    </row>
    <row r="27" spans="1:27" s="4" customFormat="1" ht="15.75" x14ac:dyDescent="0.3">
      <c r="A27" s="45" t="s">
        <v>38</v>
      </c>
      <c r="B27" s="46">
        <v>67467008</v>
      </c>
      <c r="C27" s="46"/>
      <c r="D27" s="47"/>
      <c r="E27" s="46"/>
      <c r="F27" s="46"/>
      <c r="G27" s="46">
        <f>+SUM(B27:F27)</f>
        <v>67467008</v>
      </c>
      <c r="H27" s="51">
        <v>16866752</v>
      </c>
      <c r="I27" s="57">
        <f>+U27-H27</f>
        <v>30343015</v>
      </c>
      <c r="J27" s="58">
        <f>+H27+I27</f>
        <v>47209767</v>
      </c>
      <c r="K27" s="59">
        <v>16866752</v>
      </c>
      <c r="L27" s="57">
        <v>33156170</v>
      </c>
      <c r="M27" s="59">
        <f>+K27+L27</f>
        <v>50022922</v>
      </c>
      <c r="N27" s="60">
        <v>16866752</v>
      </c>
      <c r="O27" s="57">
        <f>+W27-N27</f>
        <v>10593181</v>
      </c>
      <c r="P27" s="51">
        <f>+N27+O27</f>
        <v>27459933</v>
      </c>
      <c r="Q27" s="51"/>
      <c r="R27" s="51">
        <f>+X27-Q27</f>
        <v>23888861</v>
      </c>
      <c r="S27" s="51">
        <f>+Q27+R27</f>
        <v>23888861</v>
      </c>
      <c r="T27" s="51">
        <f>+J27+M27+P27+S27</f>
        <v>148581483</v>
      </c>
      <c r="U27" s="51">
        <f>+'[1]ANEXO INGRESOS'!C21</f>
        <v>47209767</v>
      </c>
      <c r="V27" s="46">
        <f>+'[1]ANEXO INGRESOS'!D21</f>
        <v>50022922</v>
      </c>
      <c r="W27" s="62">
        <f>+'[1]ANEXO INGRESOS'!E21</f>
        <v>27459933</v>
      </c>
      <c r="X27" s="64">
        <f>+'[1]ANEXO INGRESOS'!F21</f>
        <v>23888861</v>
      </c>
      <c r="Y27" s="51">
        <f>+U27+V27+W27+X27</f>
        <v>148581483</v>
      </c>
      <c r="Z27" s="58">
        <f>+Y27-G27</f>
        <v>81114475</v>
      </c>
      <c r="AA27" s="67">
        <f>IFERROR(Y27/G27,0)</f>
        <v>2.2022835665100193</v>
      </c>
    </row>
    <row r="28" spans="1:27" s="4" customFormat="1" ht="15.75" x14ac:dyDescent="0.3">
      <c r="A28" s="45" t="s">
        <v>39</v>
      </c>
      <c r="B28" s="46">
        <v>363410158</v>
      </c>
      <c r="C28" s="46"/>
      <c r="D28" s="47">
        <v>0</v>
      </c>
      <c r="E28" s="46"/>
      <c r="F28" s="46"/>
      <c r="G28" s="46">
        <f>+SUM(B28:F28)</f>
        <v>363410158</v>
      </c>
      <c r="H28" s="51">
        <v>90852539.5</v>
      </c>
      <c r="I28" s="57">
        <f>+U28-H28</f>
        <v>-16841373.5</v>
      </c>
      <c r="J28" s="58">
        <f>+H28+I28</f>
        <v>74011166</v>
      </c>
      <c r="K28" s="59">
        <v>90852539.5</v>
      </c>
      <c r="L28" s="57">
        <v>-25337989</v>
      </c>
      <c r="M28" s="59">
        <f>+K28+L28</f>
        <v>65514550.5</v>
      </c>
      <c r="N28" s="60">
        <v>90852539.5</v>
      </c>
      <c r="O28" s="57">
        <f>+W28-N28</f>
        <v>-50608601.5</v>
      </c>
      <c r="P28" s="51">
        <f>+N28+O28</f>
        <v>40243938</v>
      </c>
      <c r="Q28" s="51">
        <v>92852539.5</v>
      </c>
      <c r="R28" s="51">
        <f>+X28-Q28</f>
        <v>-54151565.5</v>
      </c>
      <c r="S28" s="51">
        <f>+Q28+R28</f>
        <v>38700974</v>
      </c>
      <c r="T28" s="51">
        <f>+J28+M28+P28+S28</f>
        <v>218470628.5</v>
      </c>
      <c r="U28" s="51">
        <f>+'[1]ANEXO INGRESOS'!C42</f>
        <v>74011166</v>
      </c>
      <c r="V28" s="46">
        <f>+'[1]ANEXO INGRESOS'!D42</f>
        <v>65514551</v>
      </c>
      <c r="W28" s="62">
        <f>+'[1]ANEXO INGRESOS'!E42</f>
        <v>40243938</v>
      </c>
      <c r="X28" s="64">
        <f>+'[1]ANEXO INGRESOS'!F42</f>
        <v>38700974</v>
      </c>
      <c r="Y28" s="51">
        <f>+U28+V28+W28+X28</f>
        <v>218470629</v>
      </c>
      <c r="Z28" s="58">
        <f>+Y28-G28</f>
        <v>-144939529</v>
      </c>
      <c r="AA28" s="67">
        <f>IFERROR(Y28/G28,0)</f>
        <v>0.60116819574426972</v>
      </c>
    </row>
    <row r="29" spans="1:27" s="4" customFormat="1" ht="15.75" x14ac:dyDescent="0.3">
      <c r="A29" s="45"/>
      <c r="B29" s="46"/>
      <c r="C29" s="46"/>
      <c r="D29" s="47"/>
      <c r="E29" s="46"/>
      <c r="F29" s="46"/>
      <c r="G29" s="46"/>
      <c r="H29" s="51"/>
      <c r="I29" s="57"/>
      <c r="J29" s="58"/>
      <c r="K29" s="51"/>
      <c r="L29" s="68"/>
      <c r="M29" s="51"/>
      <c r="N29" s="51"/>
      <c r="O29" s="51"/>
      <c r="P29" s="51"/>
      <c r="Q29" s="51"/>
      <c r="R29" s="51"/>
      <c r="S29" s="51"/>
      <c r="T29" s="51"/>
      <c r="U29" s="51"/>
      <c r="V29" s="46"/>
      <c r="W29" s="46"/>
      <c r="X29" s="46"/>
      <c r="Y29" s="51"/>
      <c r="Z29" s="47"/>
      <c r="AA29" s="69"/>
    </row>
    <row r="30" spans="1:27" s="4" customFormat="1" ht="15.75" x14ac:dyDescent="0.3">
      <c r="A30" s="65" t="s">
        <v>40</v>
      </c>
      <c r="B30" s="36">
        <f t="shared" ref="B30:G30" si="7">SUM(B31:B35)</f>
        <v>2422818062.1033931</v>
      </c>
      <c r="C30" s="55">
        <f t="shared" si="7"/>
        <v>0</v>
      </c>
      <c r="D30" s="55">
        <f t="shared" si="7"/>
        <v>149163007</v>
      </c>
      <c r="E30" s="55">
        <f t="shared" si="7"/>
        <v>-31500000</v>
      </c>
      <c r="F30" s="55"/>
      <c r="G30" s="55">
        <f t="shared" si="7"/>
        <v>2540481069.1033931</v>
      </c>
      <c r="H30" s="55">
        <f t="shared" ref="H30:X30" si="8">SUM(H31:H35)</f>
        <v>598947459.06299996</v>
      </c>
      <c r="I30" s="55">
        <f t="shared" si="8"/>
        <v>10635382.936999977</v>
      </c>
      <c r="J30" s="55">
        <f t="shared" si="8"/>
        <v>609582842</v>
      </c>
      <c r="K30" s="55">
        <f t="shared" si="8"/>
        <v>660700370.875</v>
      </c>
      <c r="L30" s="55">
        <f t="shared" si="8"/>
        <v>157731508.5</v>
      </c>
      <c r="M30" s="55">
        <f t="shared" si="8"/>
        <v>818431879.375</v>
      </c>
      <c r="N30" s="55">
        <f t="shared" si="8"/>
        <v>951968250.5</v>
      </c>
      <c r="O30" s="55">
        <f t="shared" si="8"/>
        <v>-740727375</v>
      </c>
      <c r="P30" s="55">
        <f t="shared" si="8"/>
        <v>211240875.5</v>
      </c>
      <c r="Q30" s="55">
        <f t="shared" si="8"/>
        <v>934331766.5712502</v>
      </c>
      <c r="R30" s="55">
        <f t="shared" si="8"/>
        <v>-783589.57125020027</v>
      </c>
      <c r="S30" s="55">
        <f t="shared" si="8"/>
        <v>933548177</v>
      </c>
      <c r="T30" s="55">
        <f t="shared" si="8"/>
        <v>2572803773.875</v>
      </c>
      <c r="U30" s="55">
        <f t="shared" si="8"/>
        <v>609582842</v>
      </c>
      <c r="V30" s="55">
        <f t="shared" si="8"/>
        <v>818431879</v>
      </c>
      <c r="W30" s="55">
        <f>SUM(W31:W35)</f>
        <v>211240876</v>
      </c>
      <c r="X30" s="55">
        <f t="shared" si="8"/>
        <v>933548177</v>
      </c>
      <c r="Y30" s="55">
        <f>SUM(Y31:Y35)</f>
        <v>2572803774</v>
      </c>
      <c r="Z30" s="55">
        <f t="shared" ref="Z30:Z35" si="9">+Y30-G30</f>
        <v>32322704.896606922</v>
      </c>
      <c r="AA30" s="73">
        <f t="shared" ref="AA30:AA35" si="10">IFERROR(Y30/G30,0)</f>
        <v>1.0127230646548429</v>
      </c>
    </row>
    <row r="31" spans="1:27" s="4" customFormat="1" ht="15.75" x14ac:dyDescent="0.3">
      <c r="A31" s="45" t="s">
        <v>41</v>
      </c>
      <c r="B31" s="46">
        <v>1698741377.9462502</v>
      </c>
      <c r="C31" s="46"/>
      <c r="D31" s="47"/>
      <c r="E31" s="46"/>
      <c r="F31" s="46"/>
      <c r="G31" s="46">
        <f>+SUM(B31:F31)</f>
        <v>1698741377.9462502</v>
      </c>
      <c r="H31" s="51">
        <v>483213288.18800002</v>
      </c>
      <c r="I31" s="57">
        <f>+U31-H31</f>
        <v>60401562.811999977</v>
      </c>
      <c r="J31" s="58">
        <f>+H31+I31</f>
        <v>543614851</v>
      </c>
      <c r="K31" s="51">
        <v>407466200</v>
      </c>
      <c r="L31" s="57">
        <v>181561137.5</v>
      </c>
      <c r="M31" s="59">
        <f>+K31+L31</f>
        <v>589027337.5</v>
      </c>
      <c r="N31" s="51">
        <v>442380000</v>
      </c>
      <c r="O31" s="51">
        <v>-346104710</v>
      </c>
      <c r="P31" s="51">
        <f>+N31+O31</f>
        <v>96275290</v>
      </c>
      <c r="Q31" s="51">
        <v>469823899.4462502</v>
      </c>
      <c r="R31" s="51">
        <f>+X31-Q31</f>
        <v>-1589896.4462502003</v>
      </c>
      <c r="S31" s="51">
        <f>+Q31+R31</f>
        <v>468234003</v>
      </c>
      <c r="T31" s="51">
        <f>+J31+M31+P31+S31</f>
        <v>1697151481.5</v>
      </c>
      <c r="U31" s="51">
        <v>543614851</v>
      </c>
      <c r="V31" s="46">
        <v>589027337</v>
      </c>
      <c r="W31" s="62">
        <v>96275290</v>
      </c>
      <c r="X31" s="64">
        <f>472056283-3822280</f>
        <v>468234003</v>
      </c>
      <c r="Y31" s="51">
        <f>+U31+V31+W31+X31</f>
        <v>1697151481</v>
      </c>
      <c r="Z31" s="58">
        <f t="shared" si="9"/>
        <v>-1589896.9462502003</v>
      </c>
      <c r="AA31" s="67">
        <f t="shared" si="10"/>
        <v>0.99906407357418214</v>
      </c>
    </row>
    <row r="32" spans="1:27" s="4" customFormat="1" ht="15.75" x14ac:dyDescent="0.3">
      <c r="A32" s="74" t="s">
        <v>42</v>
      </c>
      <c r="B32" s="75">
        <v>4556738.5714285718</v>
      </c>
      <c r="C32" s="75"/>
      <c r="D32" s="76"/>
      <c r="E32" s="75"/>
      <c r="F32" s="75"/>
      <c r="G32" s="46">
        <f>+SUM(B32:F32)</f>
        <v>4556738.5714285718</v>
      </c>
      <c r="H32" s="77">
        <v>1139184.5</v>
      </c>
      <c r="I32" s="78">
        <f>+U32-H32</f>
        <v>-9184.5</v>
      </c>
      <c r="J32" s="79">
        <f>+H32+I32</f>
        <v>1130000</v>
      </c>
      <c r="K32" s="77">
        <v>1139184.5</v>
      </c>
      <c r="L32" s="57">
        <v>17913031</v>
      </c>
      <c r="M32" s="59">
        <f>+K32+L32</f>
        <v>19052215.5</v>
      </c>
      <c r="N32" s="77">
        <v>1139184.5</v>
      </c>
      <c r="O32" s="77">
        <v>13062331</v>
      </c>
      <c r="P32" s="51">
        <f>+N32+O32</f>
        <v>14201515.5</v>
      </c>
      <c r="Q32" s="51"/>
      <c r="R32" s="51">
        <f>+X32-Q32</f>
        <v>24573229</v>
      </c>
      <c r="S32" s="51">
        <f>+Q32+R32</f>
        <v>24573229</v>
      </c>
      <c r="T32" s="77">
        <f>+J32+M32+P32+S32</f>
        <v>58956960</v>
      </c>
      <c r="U32" s="77">
        <f>+'[1]ANEXO INGRESOS'!C28</f>
        <v>1130000</v>
      </c>
      <c r="V32" s="75">
        <v>19052216</v>
      </c>
      <c r="W32" s="62">
        <f>+'[1]ANEXO INGRESOS'!E13</f>
        <v>14201516</v>
      </c>
      <c r="X32" s="64">
        <f>+'[1]ANEXO INGRESOS'!F13</f>
        <v>24573229</v>
      </c>
      <c r="Y32" s="51">
        <f>+U32+V32+W32+X32</f>
        <v>58956961</v>
      </c>
      <c r="Z32" s="57">
        <f t="shared" si="9"/>
        <v>54400222.428571425</v>
      </c>
      <c r="AA32" s="67">
        <f t="shared" si="10"/>
        <v>12.938411997051775</v>
      </c>
    </row>
    <row r="33" spans="1:27" s="4" customFormat="1" ht="15.75" x14ac:dyDescent="0.3">
      <c r="A33" s="74" t="s">
        <v>43</v>
      </c>
      <c r="B33" s="75">
        <v>3196264.0857142853</v>
      </c>
      <c r="C33" s="75"/>
      <c r="D33" s="76"/>
      <c r="E33" s="75"/>
      <c r="F33" s="75"/>
      <c r="G33" s="46">
        <f>+SUM(B33:F33)</f>
        <v>3196264.0857142853</v>
      </c>
      <c r="H33" s="77">
        <v>799066</v>
      </c>
      <c r="I33" s="78">
        <f>+U33-H33</f>
        <v>-311688</v>
      </c>
      <c r="J33" s="79">
        <f>+H33+I33</f>
        <v>487378</v>
      </c>
      <c r="K33" s="77">
        <v>799066</v>
      </c>
      <c r="L33" s="57">
        <v>-755309</v>
      </c>
      <c r="M33" s="59">
        <f>+K33+L33</f>
        <v>43757</v>
      </c>
      <c r="N33" s="77">
        <v>799066</v>
      </c>
      <c r="O33" s="77">
        <v>5145365</v>
      </c>
      <c r="P33" s="51">
        <f>+N33+O33</f>
        <v>5944431</v>
      </c>
      <c r="Q33" s="51"/>
      <c r="R33" s="51">
        <f>+X33-Q33</f>
        <v>113694</v>
      </c>
      <c r="S33" s="51">
        <f>+Q33+R33</f>
        <v>113694</v>
      </c>
      <c r="T33" s="77">
        <f>+J33+M33+P33+S33</f>
        <v>6589260</v>
      </c>
      <c r="U33" s="77">
        <f>+'[1]ANEXO INGRESOS'!C51</f>
        <v>487378</v>
      </c>
      <c r="V33" s="75">
        <v>43757</v>
      </c>
      <c r="W33" s="62">
        <f>+'[1]ANEXO INGRESOS'!E51</f>
        <v>5944431</v>
      </c>
      <c r="X33" s="64">
        <f>+'[1]ANEXO INGRESOS'!F51</f>
        <v>113694</v>
      </c>
      <c r="Y33" s="51">
        <f>+U33+V33+W33+X33</f>
        <v>6589260</v>
      </c>
      <c r="Z33" s="57">
        <f t="shared" si="9"/>
        <v>3392995.9142857147</v>
      </c>
      <c r="AA33" s="67">
        <f t="shared" si="10"/>
        <v>2.0615505550529205</v>
      </c>
    </row>
    <row r="34" spans="1:27" s="4" customFormat="1" ht="15.75" x14ac:dyDescent="0.3">
      <c r="A34" s="74" t="s">
        <v>44</v>
      </c>
      <c r="B34" s="75">
        <v>45983681.5</v>
      </c>
      <c r="C34" s="75"/>
      <c r="D34" s="76"/>
      <c r="E34" s="75">
        <v>0</v>
      </c>
      <c r="F34" s="75"/>
      <c r="G34" s="46">
        <f>+SUM(B34:F34)</f>
        <v>45983681.5</v>
      </c>
      <c r="H34" s="77">
        <v>7795920.375</v>
      </c>
      <c r="I34" s="78">
        <f>+U34-H34</f>
        <v>4317478.625</v>
      </c>
      <c r="J34" s="79">
        <f>+H34+I34</f>
        <v>12113399</v>
      </c>
      <c r="K34" s="77">
        <v>8495920.375</v>
      </c>
      <c r="L34" s="57">
        <v>-6042891</v>
      </c>
      <c r="M34" s="59">
        <f>+K34+L34</f>
        <v>2453029.375</v>
      </c>
      <c r="N34" s="76">
        <v>18850000</v>
      </c>
      <c r="O34" s="57">
        <v>-16426394</v>
      </c>
      <c r="P34" s="51">
        <f>+N34+O34</f>
        <v>2423606</v>
      </c>
      <c r="Q34" s="51">
        <v>28993647.125</v>
      </c>
      <c r="R34" s="51">
        <f>+X34-Q34</f>
        <v>-23615845.125</v>
      </c>
      <c r="S34" s="51">
        <f>+Q34+R34</f>
        <v>5377802</v>
      </c>
      <c r="T34" s="77">
        <f>+J34+M34+P34+S34</f>
        <v>22367836.375</v>
      </c>
      <c r="U34" s="77">
        <f>+'[1]ANEXO INGRESOS'!C13</f>
        <v>12113399</v>
      </c>
      <c r="V34" s="75">
        <v>2453029</v>
      </c>
      <c r="W34" s="62">
        <f>+'[1]ANEXO INGRESOS'!E28</f>
        <v>2423606</v>
      </c>
      <c r="X34" s="64">
        <f>+'[1]ANEXO INGRESOS'!F28</f>
        <v>5377802</v>
      </c>
      <c r="Y34" s="51">
        <f>+U34+V34+W34+X34</f>
        <v>22367836</v>
      </c>
      <c r="Z34" s="58">
        <f t="shared" si="9"/>
        <v>-23615845.5</v>
      </c>
      <c r="AA34" s="67">
        <f t="shared" si="10"/>
        <v>0.48642986534255633</v>
      </c>
    </row>
    <row r="35" spans="1:27" s="4" customFormat="1" ht="15.75" x14ac:dyDescent="0.3">
      <c r="A35" s="74" t="s">
        <v>45</v>
      </c>
      <c r="B35" s="75">
        <v>670340000</v>
      </c>
      <c r="C35" s="75"/>
      <c r="D35" s="78">
        <f>-110570668+70000000+16000000+150000000+23733675</f>
        <v>149163007</v>
      </c>
      <c r="E35" s="75">
        <f>-47500000+16000000</f>
        <v>-31500000</v>
      </c>
      <c r="F35" s="75"/>
      <c r="G35" s="46">
        <f>+SUM(B35:F35)</f>
        <v>788003007</v>
      </c>
      <c r="H35" s="77">
        <v>106000000</v>
      </c>
      <c r="I35" s="78">
        <f>+U35-H35</f>
        <v>-53762786</v>
      </c>
      <c r="J35" s="78">
        <f>+H35+I35</f>
        <v>52237214</v>
      </c>
      <c r="K35" s="80">
        <v>242800000</v>
      </c>
      <c r="L35" s="57">
        <v>-34944460</v>
      </c>
      <c r="M35" s="59">
        <f>+K35+L35</f>
        <v>207855540</v>
      </c>
      <c r="N35" s="77">
        <v>488800000</v>
      </c>
      <c r="O35" s="57">
        <v>-396403967</v>
      </c>
      <c r="P35" s="51">
        <f>+N35+O35</f>
        <v>92396033</v>
      </c>
      <c r="Q35" s="51">
        <v>435514220</v>
      </c>
      <c r="R35" s="51">
        <f>+X35-Q35</f>
        <v>-264771</v>
      </c>
      <c r="S35" s="51">
        <f>+Q35+R35</f>
        <v>435249449</v>
      </c>
      <c r="T35" s="77">
        <f>+J35+M35+P35+S35</f>
        <v>787738236</v>
      </c>
      <c r="U35" s="77">
        <f>+'[1]ANEXO INGRESOS'!C38</f>
        <v>52237214</v>
      </c>
      <c r="V35" s="75">
        <v>207855540</v>
      </c>
      <c r="W35" s="62">
        <f>+'[1]ANEXO INGRESOS'!E38</f>
        <v>92396033</v>
      </c>
      <c r="X35" s="64">
        <f>+'[1]ANEXO INGRESOS'!F38</f>
        <v>435249449</v>
      </c>
      <c r="Y35" s="51">
        <f>+U35+V35+W35+X35</f>
        <v>787738236</v>
      </c>
      <c r="Z35" s="58">
        <f t="shared" si="9"/>
        <v>-264771</v>
      </c>
      <c r="AA35" s="67">
        <f t="shared" si="10"/>
        <v>0.99966399747507562</v>
      </c>
    </row>
    <row r="36" spans="1:27" s="4" customFormat="1" ht="16.5" thickBot="1" x14ac:dyDescent="0.35">
      <c r="A36" s="81"/>
      <c r="B36" s="75"/>
      <c r="C36" s="75"/>
      <c r="D36" s="78"/>
      <c r="E36" s="75"/>
      <c r="F36" s="82"/>
      <c r="G36" s="82"/>
      <c r="H36" s="60"/>
      <c r="I36" s="83"/>
      <c r="J36" s="83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82"/>
      <c r="W36" s="82"/>
      <c r="X36" s="82"/>
      <c r="Y36" s="82"/>
      <c r="Z36" s="84"/>
      <c r="AA36" s="85"/>
    </row>
    <row r="37" spans="1:27" ht="16.5" thickBot="1" x14ac:dyDescent="0.35">
      <c r="A37" s="86" t="s">
        <v>46</v>
      </c>
      <c r="B37" s="87">
        <f t="shared" ref="B37:I37" si="11">+B24+B10</f>
        <v>45661564922.939629</v>
      </c>
      <c r="C37" s="87">
        <f t="shared" si="11"/>
        <v>200885709</v>
      </c>
      <c r="D37" s="88">
        <f t="shared" si="11"/>
        <v>149163007</v>
      </c>
      <c r="E37" s="89">
        <f t="shared" si="11"/>
        <v>-579741099</v>
      </c>
      <c r="F37" s="89">
        <f t="shared" si="11"/>
        <v>-3491046609</v>
      </c>
      <c r="G37" s="87">
        <f t="shared" si="11"/>
        <v>41940825930.939629</v>
      </c>
      <c r="H37" s="87">
        <f t="shared" si="11"/>
        <v>10089816219.57682</v>
      </c>
      <c r="I37" s="88">
        <f t="shared" si="11"/>
        <v>-1874212611.5768199</v>
      </c>
      <c r="J37" s="87">
        <f>+H37+I37</f>
        <v>8215603608</v>
      </c>
      <c r="K37" s="89">
        <f>+K24+K10</f>
        <v>12458308766.385651</v>
      </c>
      <c r="L37" s="88">
        <f>+L24+L10</f>
        <v>-1699853714.5</v>
      </c>
      <c r="M37" s="87">
        <f>+K37+L37</f>
        <v>10758455051.885651</v>
      </c>
      <c r="N37" s="87">
        <f>+N24+N10</f>
        <v>11431068112.139324</v>
      </c>
      <c r="O37" s="88">
        <f>+O24+O10</f>
        <v>-1931336447.2643239</v>
      </c>
      <c r="P37" s="87">
        <f>+N37+O37</f>
        <v>9499731664.875</v>
      </c>
      <c r="Q37" s="87">
        <f>+Q24+Q10</f>
        <v>12119963302.397293</v>
      </c>
      <c r="R37" s="90">
        <f>+R24+R10</f>
        <v>1120519748.8659561</v>
      </c>
      <c r="S37" s="90">
        <f>+Q37+R37</f>
        <v>13240483051.263248</v>
      </c>
      <c r="T37" s="87">
        <f>+J37+M37+P37+S37</f>
        <v>41714273376.023895</v>
      </c>
      <c r="U37" s="87">
        <f>+U24+U10</f>
        <v>8215603607.4499998</v>
      </c>
      <c r="V37" s="87">
        <f>+V24+V10</f>
        <v>10758455052</v>
      </c>
      <c r="W37" s="87">
        <f>+W24+W10</f>
        <v>9499731665.375</v>
      </c>
      <c r="X37" s="87">
        <f>+X24+X10</f>
        <v>13240483052</v>
      </c>
      <c r="Y37" s="87">
        <f>+Y24+Y10</f>
        <v>41714273376.824997</v>
      </c>
      <c r="Z37" s="87">
        <f>+Y37-G37</f>
        <v>-226552554.11463165</v>
      </c>
      <c r="AA37" s="91">
        <f>IFERROR(Y37/G37,0)</f>
        <v>0.99459828105226933</v>
      </c>
    </row>
    <row r="38" spans="1:27" ht="15.75" thickTop="1" x14ac:dyDescent="0.3">
      <c r="A38"/>
      <c r="J38" s="92">
        <f>+J37/G37</f>
        <v>0.19588559418281204</v>
      </c>
      <c r="M38" s="92">
        <f>+(J37+M37)/G37</f>
        <v>0.4524006916584955</v>
      </c>
      <c r="N38" s="92">
        <f>+(J37+M37+N37)/G37</f>
        <v>0.72495298070883241</v>
      </c>
      <c r="P38" s="92">
        <f>+(J37+M37+P37)/G37</f>
        <v>0.67890390073972329</v>
      </c>
      <c r="S38" s="92">
        <f>+(J37+M37+P37+X37)/G37</f>
        <v>0.99459828105073511</v>
      </c>
      <c r="U38" s="93"/>
      <c r="V38" s="93"/>
    </row>
    <row r="39" spans="1:27" ht="19.5" hidden="1" outlineLevel="1" x14ac:dyDescent="0.4">
      <c r="A39" s="4" t="s">
        <v>47</v>
      </c>
      <c r="B39" s="94">
        <f>+B13+B17+B21+B27+B32+B34+B35</f>
        <v>24373989925.167461</v>
      </c>
      <c r="G39" s="94">
        <f>+G13+G17+G21+G27+G32+G34+G35</f>
        <v>23193865015.167461</v>
      </c>
      <c r="H39" s="94">
        <f>+H13+H17+H21+H27+H32+H34+H35</f>
        <v>4930279646.875</v>
      </c>
      <c r="J39" s="94">
        <f>+J13+J17+J21+J27+J32+J34+J35</f>
        <v>4796067195.25</v>
      </c>
      <c r="K39" s="94">
        <f>+K13+K17+K21+K27+K32+K34+K35</f>
        <v>7197832507.875</v>
      </c>
      <c r="M39" s="94">
        <f>+M13+M17+M21+M27+M32+M34+M35</f>
        <v>6284315416.875</v>
      </c>
      <c r="N39" s="94">
        <f>+N13+N17+N21+N27+N32+N34+N35</f>
        <v>6946166301.375</v>
      </c>
      <c r="P39" s="94">
        <f>+P13+P17+P21+P27+P32+P34+P35</f>
        <v>5403123531.375</v>
      </c>
      <c r="Q39" s="94">
        <f>+Q13+Q17+Q21+Q27+Q32+Q34+Q35</f>
        <v>6710252981.5822897</v>
      </c>
      <c r="S39" s="94">
        <f>+S13+S17+S21+S27+S32+S34+S35</f>
        <v>6700086573.7774191</v>
      </c>
      <c r="U39" s="94">
        <f>+U13+U17+U21+U27+U32+U34+U35</f>
        <v>4796067194.90625</v>
      </c>
      <c r="V39" s="94">
        <f>+V13+V17+V21+V27+V32+V34+V35</f>
        <v>6284315417</v>
      </c>
      <c r="W39" s="95">
        <f>+W13+W17+W21+W27+W32+W34+W35</f>
        <v>5403123532.375</v>
      </c>
      <c r="X39" s="95">
        <f>+X13+X17+X21+X27+X32+X34+X35</f>
        <v>6700086574.375</v>
      </c>
      <c r="Y39" s="95">
        <f>+Y13+Y17+Y21+Y27+Y32+Y34+Y35</f>
        <v>23183592718.65625</v>
      </c>
    </row>
    <row r="40" spans="1:27" ht="19.5" hidden="1" outlineLevel="1" x14ac:dyDescent="0.4">
      <c r="A40" s="4" t="s">
        <v>48</v>
      </c>
      <c r="B40" s="94">
        <f>+[1]ECO!B72+[1]TEC!B51+[1]TRANSF!B71+[1]SAN!B40+[1]MER!B75+[1]FUN!B50-[1]FUN!B42-[1]FUN!B48</f>
        <v>24373989925.167454</v>
      </c>
      <c r="G40" s="94">
        <f>+[1]ECO!I72+[1]TEC!I51+[1]TRANSF!I71+[1]SAN!I40+[1]MER!I75+[1]FUN!I50-[1]FUN!I42-[1]FUN!I48</f>
        <v>23193865015.857452</v>
      </c>
      <c r="H40" s="94">
        <f>+[1]ECO!J72+[1]TEC!J51+[1]TRANSF!J71+[1]MER!J75+[1]FUN!J20+[1]FUN!J38+[1]FUN!J41+[1]SAN!J40</f>
        <v>4365127739.3135939</v>
      </c>
      <c r="J40" s="94">
        <f>+[1]ECO!M72+[1]TEC!M51+[1]TRANSF!M71+[1]MER!M75+[1]FUN!M50-[1]FUN!M42+[1]SAN!M40</f>
        <v>3344379035.4258542</v>
      </c>
      <c r="K40" s="94">
        <f>+[1]ECO!N72+[1]TEC!N51+[1]TRANSF!N71+[1]SAN!N40+[1]MER!N75+[1]FUN!N50-[1]FUN!N42</f>
        <v>7197832508.1471424</v>
      </c>
      <c r="M40" s="94">
        <f>+[1]ECO!Q72+[1]TEC!Q51+[1]TRANSF!Q71+[1]SAN!Q40+[1]MER!Q75+[1]FUN!Q50-[1]FUN!Q42</f>
        <v>6284315417.2250004</v>
      </c>
      <c r="N40" s="94">
        <f>+[1]ECO!U72+[1]TEC!U51+[1]TRANSF!U71+[1]SAN!U40+[1]MER!U75+[1]FUN!U50-[1]FUN!U42</f>
        <v>5319461959.8725004</v>
      </c>
      <c r="P40" s="94">
        <f>+[1]ECO!U72+[1]TEC!U51+[1]TRANSF!U71+[1]SAN!U40+[1]MER!U75+[1]FUN!U50+-[1]FUN!U42</f>
        <v>5319461959.8725004</v>
      </c>
      <c r="Q40" s="94">
        <f>+[1]ECO!V72+[1]TEC!V51+[1]TRANSF!V71+[1]SAN!V40+[1]MER!V75+[1]FUN!V50-[1]FUN!V42</f>
        <v>6710252972.4898901</v>
      </c>
      <c r="S40" s="94">
        <f>+[1]ECO!Y72+[1]TEC!Y51+[1]TRANSF!Y71+[1]SAN!Y40+[1]MER!Y75+[1]FUN!V50-[1]FUN!Y42</f>
        <v>6077680799.9355869</v>
      </c>
      <c r="U40" s="94">
        <f>+[1]ECO!AA72+[1]TEC!AA51+[1]TRANSF!AA71+[1]MER!AA75+[1]FUN!AA50-[1]FUN!AA42+[1]SAN!AA40</f>
        <v>3344379033.8299999</v>
      </c>
      <c r="V40" s="94">
        <f>+[1]ECO!AB72+[1]TEC!AB51+[1]TRANSF!AB71+[1]SAN!AB40+[1]MER!AB75+[1]FUN!AB50-[1]FUN!AB42</f>
        <v>6284315417</v>
      </c>
      <c r="W40" s="95">
        <f>+[1]ECO!AC72+[1]TEC!AC51+[1]TRANSF!AC71+[1]MER!AC75+[1]FUN!AC50-[1]FUN!AC42+[1]SAN!AC40</f>
        <v>5319461959.21</v>
      </c>
      <c r="X40" s="95">
        <f>+[1]ECO!AD72+[1]TEC!AD51+[1]TRANSF!AD71+[1]SAN!AD40+[1]MER!AD75+[1]FUN!AD50-[1]FUN!AD42</f>
        <v>5969229617</v>
      </c>
      <c r="Y40" s="95">
        <f>+U40+V40+W40+X40</f>
        <v>20917386027.040001</v>
      </c>
    </row>
    <row r="41" spans="1:27" ht="19.5" hidden="1" outlineLevel="1" x14ac:dyDescent="0.4">
      <c r="A41" s="4" t="s">
        <v>49</v>
      </c>
      <c r="B41" s="96">
        <f>+B39-B40</f>
        <v>0</v>
      </c>
      <c r="G41" s="96">
        <f>+G39-G40</f>
        <v>-0.68999099731445313</v>
      </c>
      <c r="H41" s="96">
        <f>+H39-H40</f>
        <v>565151907.56140614</v>
      </c>
      <c r="J41" s="96">
        <f>+J39-J40</f>
        <v>1451688159.8241458</v>
      </c>
      <c r="K41" s="96">
        <f>+K39-K40</f>
        <v>-0.27214241027832031</v>
      </c>
      <c r="M41" s="96">
        <f>+M39-M40</f>
        <v>-0.35000038146972656</v>
      </c>
      <c r="N41" s="96">
        <f>+N39-N40</f>
        <v>1626704341.5024996</v>
      </c>
      <c r="P41" s="96">
        <f>+P39-P40</f>
        <v>83661571.50249958</v>
      </c>
      <c r="Q41" s="96">
        <f>+Q39-Q40</f>
        <v>9.0923995971679687</v>
      </c>
      <c r="S41" s="96">
        <f>+S39-S40</f>
        <v>622405773.84183216</v>
      </c>
      <c r="U41" s="96">
        <f>+U39-U40</f>
        <v>1451688161.0762501</v>
      </c>
      <c r="V41" s="96">
        <f>+V39-V40</f>
        <v>0</v>
      </c>
      <c r="W41" s="95">
        <f>+W39-W40</f>
        <v>83661573.164999962</v>
      </c>
      <c r="X41" s="95">
        <f>+X39-X40</f>
        <v>730856957.375</v>
      </c>
      <c r="Y41" s="95">
        <f>+Y39-Y40</f>
        <v>2266206691.6162491</v>
      </c>
    </row>
    <row r="42" spans="1:27" ht="19.5" hidden="1" outlineLevel="1" x14ac:dyDescent="0.4">
      <c r="A42" s="4" t="s">
        <v>50</v>
      </c>
      <c r="B42" s="94">
        <f>+CUOTAPPC2005+B18+B22+B28+VTAS2005+B33</f>
        <v>21287574997.772167</v>
      </c>
      <c r="C42" s="97"/>
      <c r="D42" s="97"/>
      <c r="E42" s="97"/>
      <c r="F42" s="97"/>
      <c r="G42" s="94">
        <f>+G14+G18+G22+G28+G31+G33</f>
        <v>18746960915.772167</v>
      </c>
      <c r="H42" s="94">
        <f>H33+H31+H28+H22+H18+H14</f>
        <v>5159536572.7018204</v>
      </c>
      <c r="J42" s="94">
        <f>+J14+J18+J22+J28+J31+J33</f>
        <v>3419536412.75</v>
      </c>
      <c r="K42" s="94">
        <f>+K14+K18+K22+K28+K31+K33</f>
        <v>5260476258.5106497</v>
      </c>
      <c r="M42" s="94">
        <f>+M14+M22+M28+M31+M33+M18</f>
        <v>4474139635.0106497</v>
      </c>
      <c r="N42" s="94">
        <f>+N14+N18+N22+N28+N31+N33</f>
        <v>4484901810.7643242</v>
      </c>
      <c r="P42" s="94">
        <f>+P14+P18+P22+P28+P31+P33</f>
        <v>4096608133.5</v>
      </c>
      <c r="Q42" s="94">
        <f>+Q14+Q18+Q22+Q28+Q31+Q33</f>
        <v>5409710320.8150034</v>
      </c>
      <c r="S42" s="94">
        <f>+S14+S18+S22+S28+S31+S33</f>
        <v>6540396477.4858303</v>
      </c>
      <c r="U42" s="94">
        <f>+U14+U18+U22+U28+U31+U33</f>
        <v>3419536412.5437498</v>
      </c>
      <c r="V42" s="94">
        <f>+V14+V18+V22+V28+V31+V33</f>
        <v>4474139635</v>
      </c>
      <c r="W42" s="95">
        <f>+W14+W18+W22+W28+W31+W33</f>
        <v>4096608133</v>
      </c>
      <c r="X42" s="95">
        <f>+X14+X18+X22+X28+X31+X33</f>
        <v>6540396477.625</v>
      </c>
      <c r="Y42" s="95">
        <f>+Y14+Y18+Y22+Y28+Y31+Y33</f>
        <v>18530680658.168751</v>
      </c>
    </row>
    <row r="43" spans="1:27" ht="19.5" hidden="1" outlineLevel="1" x14ac:dyDescent="0.4">
      <c r="A43" s="4" t="s">
        <v>51</v>
      </c>
      <c r="B43" s="94">
        <f>+[1]PPC!B67+[1]FUN!B42+[1]FUN!B48</f>
        <v>21287574997.772167</v>
      </c>
      <c r="C43" s="97"/>
      <c r="D43" s="97"/>
      <c r="E43" s="97"/>
      <c r="F43" s="97"/>
      <c r="G43" s="94">
        <f>+[1]PPC!I67+[1]FUN!I42+[1]FUN!I48</f>
        <v>18746960914.772171</v>
      </c>
      <c r="H43" s="94">
        <f>+[1]PPC!J67+[1]FUN!J42</f>
        <v>5159536572.7018242</v>
      </c>
      <c r="J43" s="94">
        <f>+[1]PPC!M67+[1]FUN!M42</f>
        <v>3162526305</v>
      </c>
      <c r="K43" s="94">
        <f>+[1]PPC!N67+[1]FUN!N42</f>
        <v>5260476258.5106506</v>
      </c>
      <c r="M43" s="94">
        <f>+[1]PPC!Q67+[1]FUN!Q42</f>
        <v>4474139635</v>
      </c>
      <c r="N43" s="94">
        <f>+[1]PPC!U67+[1]FUN!U42</f>
        <v>4096608132.8125005</v>
      </c>
      <c r="P43" s="94">
        <f>+[1]PPC!U67+[1]FUN!U42</f>
        <v>4096608132.8125005</v>
      </c>
      <c r="Q43" s="94">
        <f>+[1]PPC!V67+[1]FUN!V42</f>
        <v>5409710321.7098408</v>
      </c>
      <c r="S43" s="94">
        <f>+[1]PPC!Y67+[1]FUN!Y42</f>
        <v>4467865405.999999</v>
      </c>
      <c r="U43" s="94">
        <f>+[1]PPC!AA67+[1]FUN!AA42</f>
        <v>3162526305</v>
      </c>
      <c r="V43" s="94">
        <f>+[1]PPC!AB67+[1]FUN!AB42</f>
        <v>4474139635</v>
      </c>
      <c r="W43" s="95">
        <f>+[1]PPC!U67+[1]FUN!AC42</f>
        <v>4096608133.0000005</v>
      </c>
      <c r="X43" s="95">
        <f>+[1]PPC!AD67+[1]FUN!AD42</f>
        <v>4467865406</v>
      </c>
      <c r="Y43" s="95">
        <f>+U43+V43+W43+X43</f>
        <v>16201139479</v>
      </c>
    </row>
    <row r="44" spans="1:27" ht="19.5" hidden="1" outlineLevel="1" x14ac:dyDescent="0.4">
      <c r="A44" s="4" t="s">
        <v>49</v>
      </c>
      <c r="B44" s="96">
        <f>+B42-B43</f>
        <v>0</v>
      </c>
      <c r="G44" s="96">
        <f>+G42-G43</f>
        <v>0.99999618530273438</v>
      </c>
      <c r="H44" s="96">
        <f>+H42-H43</f>
        <v>0</v>
      </c>
      <c r="J44" s="96">
        <f>+J42-J43</f>
        <v>257010107.75</v>
      </c>
      <c r="K44" s="96">
        <f>+K42-K43</f>
        <v>0</v>
      </c>
      <c r="M44" s="96">
        <f>+M42-M43</f>
        <v>1.0649681091308594E-2</v>
      </c>
      <c r="N44" s="96">
        <f>+N42-N43</f>
        <v>388293677.95182371</v>
      </c>
      <c r="P44" s="96">
        <f>+P42-P43</f>
        <v>0.6874995231628418</v>
      </c>
      <c r="Q44" s="96">
        <f>+Q42-Q43</f>
        <v>-0.89483737945556641</v>
      </c>
      <c r="S44" s="96">
        <f>+S42-S43</f>
        <v>2072531071.4858313</v>
      </c>
      <c r="U44" s="96">
        <f>+U42-U43</f>
        <v>257010107.54374981</v>
      </c>
      <c r="V44" s="96">
        <f>+V42-V43</f>
        <v>0</v>
      </c>
      <c r="W44" s="95">
        <f>+W42-W43</f>
        <v>0</v>
      </c>
      <c r="X44" s="95">
        <f>+X42-X43</f>
        <v>2072531071.625</v>
      </c>
      <c r="Y44" s="95">
        <f>+Y42-Y43</f>
        <v>2329541179.1687508</v>
      </c>
    </row>
    <row r="45" spans="1:27" hidden="1" outlineLevel="1" x14ac:dyDescent="0.3">
      <c r="A45"/>
      <c r="K45" s="98"/>
      <c r="V45" s="99"/>
      <c r="W45" s="99"/>
    </row>
    <row r="46" spans="1:27" hidden="1" outlineLevel="1" x14ac:dyDescent="0.3">
      <c r="A46"/>
      <c r="H46" s="99"/>
      <c r="J46" s="99"/>
      <c r="U46" s="99"/>
      <c r="V46" s="99"/>
      <c r="W46" s="93"/>
    </row>
    <row r="47" spans="1:27" hidden="1" outlineLevel="1" x14ac:dyDescent="0.3">
      <c r="A47"/>
      <c r="W47" s="93"/>
    </row>
    <row r="48" spans="1:27" hidden="1" outlineLevel="1" x14ac:dyDescent="0.3">
      <c r="A48"/>
    </row>
    <row r="49" spans="1:19" hidden="1" outlineLevel="1" x14ac:dyDescent="0.3">
      <c r="A49"/>
      <c r="J49" s="100"/>
      <c r="M49" s="100"/>
      <c r="P49" s="100"/>
      <c r="Q49" s="100"/>
      <c r="S49" s="100"/>
    </row>
    <row r="50" spans="1:19" hidden="1" outlineLevel="1" x14ac:dyDescent="0.3">
      <c r="A50"/>
    </row>
    <row r="51" spans="1:19" hidden="1" outlineLevel="1" x14ac:dyDescent="0.3">
      <c r="A51"/>
    </row>
    <row r="52" spans="1:19" hidden="1" outlineLevel="1" x14ac:dyDescent="0.3">
      <c r="A52"/>
    </row>
    <row r="53" spans="1:19" collapsed="1" x14ac:dyDescent="0.3">
      <c r="A53"/>
    </row>
    <row r="54" spans="1:19" x14ac:dyDescent="0.3">
      <c r="A54"/>
    </row>
    <row r="55" spans="1:19" x14ac:dyDescent="0.3">
      <c r="A55"/>
    </row>
    <row r="56" spans="1:19" x14ac:dyDescent="0.3">
      <c r="A56"/>
    </row>
    <row r="57" spans="1:19" x14ac:dyDescent="0.3">
      <c r="A57"/>
    </row>
    <row r="58" spans="1:19" x14ac:dyDescent="0.3">
      <c r="A58"/>
    </row>
    <row r="59" spans="1:19" x14ac:dyDescent="0.3">
      <c r="A59"/>
    </row>
    <row r="60" spans="1:19" x14ac:dyDescent="0.3">
      <c r="A60"/>
    </row>
    <row r="61" spans="1:19" x14ac:dyDescent="0.3">
      <c r="A61"/>
    </row>
    <row r="62" spans="1:19" x14ac:dyDescent="0.3">
      <c r="A62"/>
    </row>
    <row r="63" spans="1:19" x14ac:dyDescent="0.3">
      <c r="A63"/>
    </row>
    <row r="64" spans="1:19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</sheetData>
  <mergeCells count="19">
    <mergeCell ref="Y7:Y9"/>
    <mergeCell ref="Z7:Z9"/>
    <mergeCell ref="AA7:AA9"/>
    <mergeCell ref="G7:G9"/>
    <mergeCell ref="I7:I9"/>
    <mergeCell ref="L7:L9"/>
    <mergeCell ref="O7:O9"/>
    <mergeCell ref="R7:R9"/>
    <mergeCell ref="T7:T9"/>
    <mergeCell ref="A2:AA2"/>
    <mergeCell ref="A3:AA3"/>
    <mergeCell ref="A4:AA4"/>
    <mergeCell ref="A5:AA5"/>
    <mergeCell ref="A7:A9"/>
    <mergeCell ref="B7:B9"/>
    <mergeCell ref="C7:C9"/>
    <mergeCell ref="D7:D9"/>
    <mergeCell ref="E7:E9"/>
    <mergeCell ref="F7:F9"/>
  </mergeCells>
  <printOptions horizontalCentered="1"/>
  <pageMargins left="0.59055118110236227" right="0.39370078740157483" top="0.19685039370078741" bottom="0.19685039370078741" header="0" footer="0"/>
  <pageSetup scale="69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</vt:lpstr>
      <vt:lpstr>INGRESO!CUOTAPPC2005</vt:lpstr>
      <vt:lpstr>INGRESO!VTAS2005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2019-10-16T17:12:12Z</dcterms:created>
  <dcterms:modified xsi:type="dcterms:W3CDTF">2019-10-16T17:12:52Z</dcterms:modified>
</cp:coreProperties>
</file>