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Ejecución presupuestal historica anual\2019\Gasto\"/>
    </mc:Choice>
  </mc:AlternateContent>
  <xr:revisionPtr revIDLastSave="0" documentId="8_{83E738C9-3AD2-4441-BC4A-3B63B609AAC7}" xr6:coauthVersionLast="45" xr6:coauthVersionMax="45" xr10:uidLastSave="{00000000-0000-0000-0000-000000000000}"/>
  <bookViews>
    <workbookView xWindow="-120" yWindow="-120" windowWidth="20730" windowHeight="11160" xr2:uid="{8BDBB000-2106-4B6B-9BF7-C5C484D7E26E}"/>
  </bookViews>
  <sheets>
    <sheet name="Anexo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hidden="1">#REF!</definedName>
    <definedName name="ANEXO" hidden="1">'[8]Inversión total en programas'!$50:$50,'[8]Inversión total en programas'!$60:$63</definedName>
    <definedName name="_xlnm.Print_Area" localSheetId="0">'Anexo 2'!$A$1:$N$199</definedName>
    <definedName name="_xlnm.Print_Area">#REF!</definedName>
    <definedName name="AREAS" localSheetId="0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'[12]Anexo 1 Minagricultura'!#REF!</definedName>
    <definedName name="CABEZAS_PROYEC" localSheetId="0">'[13]Anexo 1 Minagricultura'!$C$46</definedName>
    <definedName name="CABEZAS_PROYEC">'[14]Anexo 1'!#REF!</definedName>
    <definedName name="CONTRATOS" localSheetId="0">#REF!</definedName>
    <definedName name="CONTRATOS">#REF!</definedName>
    <definedName name="CUOTAPPC2005" localSheetId="0">'[13]Anexo 1 Minagricultura'!#REF!</definedName>
    <definedName name="CUOTAPPC2005">'[14]Anexo 1'!#REF!</definedName>
    <definedName name="CUOTAPPC2013" localSheetId="0">'[13]Anexo 1 Minagricultura'!#REF!</definedName>
    <definedName name="CUOTAPPC2013">'[14]Anexo 1'!#REF!</definedName>
    <definedName name="CUOTAPPC203" localSheetId="0">'[13]Anexo 1 Minagricultura'!#REF!</definedName>
    <definedName name="CUOTAPPC203">'[14]Anexo 1'!#REF!</definedName>
    <definedName name="DIAG_PPC">#REF!</definedName>
    <definedName name="DIRECCION">[15]consecutivo!$M$9:$M$13</definedName>
    <definedName name="DISTRIBUIDOR">#REF!</definedName>
    <definedName name="Dólar" localSheetId="0">#REF!</definedName>
    <definedName name="Dólar">#REF!</definedName>
    <definedName name="eeeee" localSheetId="0">'[13]Ejecución ingresos 2014'!#REF!</definedName>
    <definedName name="eeeee">#REF!</definedName>
    <definedName name="EPPC" localSheetId="0">'[13]Anexo 1 Minagricultura'!$C$54</definedName>
    <definedName name="EPPC">'[14]Anexo 1'!#REF!</definedName>
    <definedName name="Euro" localSheetId="0">#REF!</definedName>
    <definedName name="Euro">#REF!</definedName>
    <definedName name="FDGFDG">#REF!</definedName>
    <definedName name="FECHA_DE_RECIBIDO">[16]BASE!$E$3:$E$177</definedName>
    <definedName name="FOMENTO" localSheetId="0">'[13]Anexo 1 Minagricultura'!$C$53</definedName>
    <definedName name="FOMENTO">'[14]Anexo 1'!#REF!</definedName>
    <definedName name="FOMENTOS">'[20]Anexo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 localSheetId="0">#REF!</definedName>
    <definedName name="JORTIZ">#REF!</definedName>
    <definedName name="LABORATORIOS">#REF!</definedName>
    <definedName name="NOMBDISTRI">#REF!</definedName>
    <definedName name="ojo">#REF!</definedName>
    <definedName name="Pasajes" localSheetId="0">#REF!</definedName>
    <definedName name="Pasajes">#REF!</definedName>
    <definedName name="ppc" localSheetId="0">'[5]Anexo 1'!$B$16</definedName>
    <definedName name="ppc">'[14]Anexo 1'!$B$16</definedName>
    <definedName name="RESERV_FUTU">#REF!</definedName>
    <definedName name="saldo" localSheetId="0">'[13]Ejecución ingresos 2014'!#REF!</definedName>
    <definedName name="saldo">#REF!</definedName>
    <definedName name="saldos" localSheetId="0">'[13]Ejecución ingresos 2014'!#REF!</definedName>
    <definedName name="saldos">#REF!</definedName>
    <definedName name="SUPERA2004" localSheetId="0">'[13]Anexo 1 Minagricultura'!#REF!</definedName>
    <definedName name="SUPERA2004">'[14]Anexo 1'!#REF!</definedName>
    <definedName name="SUPERA2005" localSheetId="0">'[13]Anexo 1 Minagricultura'!#REF!</definedName>
    <definedName name="SUPERA2005">'[14]Anexo 1'!#REF!</definedName>
    <definedName name="SUPERA2010">'[23]Anexo 1 Minagricultura'!$C$21</definedName>
    <definedName name="SUPERA2012" localSheetId="0">'[13]Anexo 1 Minagricultura'!#REF!</definedName>
    <definedName name="SUPERA2012">'[14]Anexo 1'!#REF!</definedName>
    <definedName name="SUPERAVIT">#REF!</definedName>
    <definedName name="SUPERAVIT2005_FNP">#REF!</definedName>
    <definedName name="SUPERAVITPPC_2005">#REF!</definedName>
    <definedName name="TIPOS" localSheetId="0">#REF!</definedName>
    <definedName name="TIPOS">#REF!</definedName>
    <definedName name="_xlnm.Print_Titles" localSheetId="0">'Anexo 2'!$1:$6</definedName>
    <definedName name="_xlnm.Print_Titles">#REF!</definedName>
    <definedName name="VTAS2005" localSheetId="0">'[5]Anexo 1'!$B$33</definedName>
    <definedName name="VTAS2005">'[14]Anexo 1'!$B$33</definedName>
    <definedName name="xx">[24]Ingresos!$C$19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'[26]Ingresos 2014'!#REF!</definedName>
    <definedName name="ZFRONTERA">'[27]Ingresos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I8" i="1"/>
  <c r="J8" i="1"/>
  <c r="L8" i="1"/>
  <c r="B9" i="1"/>
  <c r="D9" i="1"/>
  <c r="F9" i="1"/>
  <c r="H9" i="1" s="1"/>
  <c r="G9" i="1"/>
  <c r="G8" i="1" s="1"/>
  <c r="H10" i="1"/>
  <c r="K10" i="1" s="1"/>
  <c r="H11" i="1"/>
  <c r="K11" i="1" s="1"/>
  <c r="D12" i="1"/>
  <c r="H12" i="1" s="1"/>
  <c r="K12" i="1" s="1"/>
  <c r="B13" i="1"/>
  <c r="B8" i="1" s="1"/>
  <c r="F13" i="1"/>
  <c r="G13" i="1"/>
  <c r="H14" i="1"/>
  <c r="K14" i="1" s="1"/>
  <c r="H15" i="1"/>
  <c r="K15" i="1" s="1"/>
  <c r="B16" i="1"/>
  <c r="H16" i="1" s="1"/>
  <c r="K16" i="1" s="1"/>
  <c r="B17" i="1"/>
  <c r="H17" i="1"/>
  <c r="K17" i="1" s="1"/>
  <c r="B18" i="1"/>
  <c r="H18" i="1"/>
  <c r="K18" i="1" s="1"/>
  <c r="M18" i="1" s="1"/>
  <c r="N18" i="1"/>
  <c r="C19" i="1"/>
  <c r="C48" i="1" s="1"/>
  <c r="D19" i="1"/>
  <c r="E19" i="1"/>
  <c r="I19" i="1"/>
  <c r="J19" i="1"/>
  <c r="L19" i="1"/>
  <c r="C21" i="1"/>
  <c r="H21" i="1" s="1"/>
  <c r="B22" i="1"/>
  <c r="H22" i="1" s="1"/>
  <c r="K22" i="1" s="1"/>
  <c r="E22" i="1"/>
  <c r="F22" i="1"/>
  <c r="H23" i="1"/>
  <c r="K23" i="1" s="1"/>
  <c r="B24" i="1"/>
  <c r="D24" i="1"/>
  <c r="H24" i="1"/>
  <c r="K24" i="1" s="1"/>
  <c r="B25" i="1"/>
  <c r="H25" i="1"/>
  <c r="K25" i="1" s="1"/>
  <c r="M25" i="1" s="1"/>
  <c r="H26" i="1"/>
  <c r="K26" i="1"/>
  <c r="M26" i="1" s="1"/>
  <c r="B27" i="1"/>
  <c r="H27" i="1" s="1"/>
  <c r="K27" i="1" s="1"/>
  <c r="D27" i="1"/>
  <c r="E27" i="1"/>
  <c r="F27" i="1"/>
  <c r="B28" i="1"/>
  <c r="D28" i="1"/>
  <c r="E28" i="1"/>
  <c r="H28" i="1"/>
  <c r="K28" i="1" s="1"/>
  <c r="H29" i="1"/>
  <c r="K29" i="1"/>
  <c r="M29" i="1" s="1"/>
  <c r="H30" i="1"/>
  <c r="K30" i="1" s="1"/>
  <c r="H31" i="1"/>
  <c r="K31" i="1"/>
  <c r="M31" i="1" s="1"/>
  <c r="H32" i="1"/>
  <c r="K32" i="1" s="1"/>
  <c r="B33" i="1"/>
  <c r="H33" i="1" s="1"/>
  <c r="F33" i="1"/>
  <c r="G33" i="1"/>
  <c r="K33" i="1"/>
  <c r="H34" i="1"/>
  <c r="K34" i="1" s="1"/>
  <c r="H35" i="1"/>
  <c r="K35" i="1"/>
  <c r="B36" i="1"/>
  <c r="C36" i="1"/>
  <c r="D36" i="1"/>
  <c r="D48" i="1" s="1"/>
  <c r="E36" i="1"/>
  <c r="G36" i="1"/>
  <c r="I36" i="1"/>
  <c r="J36" i="1"/>
  <c r="L36" i="1"/>
  <c r="I38" i="1"/>
  <c r="J38" i="1"/>
  <c r="K38" i="1"/>
  <c r="L38" i="1"/>
  <c r="M38" i="1" s="1"/>
  <c r="K39" i="1"/>
  <c r="M39" i="1" s="1"/>
  <c r="N39" i="1"/>
  <c r="K40" i="1"/>
  <c r="M40" i="1"/>
  <c r="N40" i="1"/>
  <c r="K41" i="1"/>
  <c r="L41" i="1"/>
  <c r="M41" i="1" s="1"/>
  <c r="J42" i="1"/>
  <c r="L42" i="1"/>
  <c r="K43" i="1"/>
  <c r="I44" i="1"/>
  <c r="K45" i="1"/>
  <c r="M45" i="1"/>
  <c r="N45" i="1"/>
  <c r="J46" i="1"/>
  <c r="L46" i="1"/>
  <c r="E48" i="1"/>
  <c r="J52" i="1"/>
  <c r="B53" i="1"/>
  <c r="H53" i="1"/>
  <c r="J53" i="1"/>
  <c r="K53" i="1"/>
  <c r="L53" i="1"/>
  <c r="H54" i="1"/>
  <c r="K54" i="1"/>
  <c r="M54" i="1" s="1"/>
  <c r="B55" i="1"/>
  <c r="J55" i="1"/>
  <c r="L55" i="1"/>
  <c r="B56" i="1"/>
  <c r="H56" i="1"/>
  <c r="B57" i="1"/>
  <c r="H57" i="1"/>
  <c r="K57" i="1" s="1"/>
  <c r="M57" i="1" s="1"/>
  <c r="B58" i="1"/>
  <c r="H58" i="1"/>
  <c r="K58" i="1" s="1"/>
  <c r="J59" i="1"/>
  <c r="L59" i="1"/>
  <c r="L52" i="1" s="1"/>
  <c r="B60" i="1"/>
  <c r="B59" i="1" s="1"/>
  <c r="B61" i="1"/>
  <c r="H61" i="1" s="1"/>
  <c r="K61" i="1" s="1"/>
  <c r="H62" i="1"/>
  <c r="K62" i="1"/>
  <c r="F65" i="1"/>
  <c r="J65" i="1"/>
  <c r="L65" i="1"/>
  <c r="L64" i="1" s="1"/>
  <c r="H66" i="1"/>
  <c r="K66" i="1"/>
  <c r="M66" i="1" s="1"/>
  <c r="H67" i="1"/>
  <c r="K67" i="1" s="1"/>
  <c r="M67" i="1" s="1"/>
  <c r="H68" i="1"/>
  <c r="K68" i="1"/>
  <c r="M68" i="1" s="1"/>
  <c r="H69" i="1"/>
  <c r="K69" i="1" s="1"/>
  <c r="M69" i="1" s="1"/>
  <c r="H70" i="1"/>
  <c r="H71" i="1"/>
  <c r="K71" i="1"/>
  <c r="M71" i="1" s="1"/>
  <c r="F72" i="1"/>
  <c r="J72" i="1"/>
  <c r="J64" i="1" s="1"/>
  <c r="L72" i="1"/>
  <c r="H73" i="1"/>
  <c r="K73" i="1"/>
  <c r="H74" i="1"/>
  <c r="H72" i="1" s="1"/>
  <c r="H75" i="1"/>
  <c r="K75" i="1"/>
  <c r="H76" i="1"/>
  <c r="K76" i="1" s="1"/>
  <c r="H77" i="1"/>
  <c r="K77" i="1"/>
  <c r="H78" i="1"/>
  <c r="K78" i="1" s="1"/>
  <c r="H79" i="1"/>
  <c r="K79" i="1"/>
  <c r="H80" i="1"/>
  <c r="K80" i="1" s="1"/>
  <c r="H81" i="1"/>
  <c r="K81" i="1"/>
  <c r="H82" i="1"/>
  <c r="K82" i="1" s="1"/>
  <c r="H83" i="1"/>
  <c r="K83" i="1"/>
  <c r="H84" i="1"/>
  <c r="K84" i="1" s="1"/>
  <c r="F85" i="1"/>
  <c r="J85" i="1"/>
  <c r="L85" i="1"/>
  <c r="H86" i="1"/>
  <c r="K86" i="1" s="1"/>
  <c r="M86" i="1" s="1"/>
  <c r="H87" i="1"/>
  <c r="K87" i="1"/>
  <c r="M87" i="1" s="1"/>
  <c r="H88" i="1"/>
  <c r="K88" i="1" s="1"/>
  <c r="M88" i="1" s="1"/>
  <c r="H89" i="1"/>
  <c r="K89" i="1"/>
  <c r="N89" i="1" s="1"/>
  <c r="M89" i="1"/>
  <c r="H90" i="1"/>
  <c r="K90" i="1" s="1"/>
  <c r="M90" i="1" s="1"/>
  <c r="H91" i="1"/>
  <c r="K91" i="1" s="1"/>
  <c r="M91" i="1" s="1"/>
  <c r="H92" i="1"/>
  <c r="K92" i="1" s="1"/>
  <c r="M92" i="1" s="1"/>
  <c r="H93" i="1"/>
  <c r="K93" i="1" s="1"/>
  <c r="N93" i="1" s="1"/>
  <c r="F94" i="1"/>
  <c r="H94" i="1"/>
  <c r="K94" i="1" s="1"/>
  <c r="N94" i="1" s="1"/>
  <c r="J94" i="1"/>
  <c r="L94" i="1"/>
  <c r="H95" i="1"/>
  <c r="K95" i="1"/>
  <c r="N95" i="1" s="1"/>
  <c r="M95" i="1"/>
  <c r="H96" i="1"/>
  <c r="K96" i="1" s="1"/>
  <c r="M96" i="1" s="1"/>
  <c r="N96" i="1"/>
  <c r="H97" i="1"/>
  <c r="K97" i="1"/>
  <c r="N97" i="1" s="1"/>
  <c r="M97" i="1"/>
  <c r="H98" i="1"/>
  <c r="K98" i="1" s="1"/>
  <c r="M98" i="1" s="1"/>
  <c r="H99" i="1"/>
  <c r="K99" i="1"/>
  <c r="N99" i="1" s="1"/>
  <c r="M99" i="1"/>
  <c r="H100" i="1"/>
  <c r="K100" i="1" s="1"/>
  <c r="M100" i="1" s="1"/>
  <c r="H101" i="1"/>
  <c r="K101" i="1"/>
  <c r="N101" i="1" s="1"/>
  <c r="M101" i="1"/>
  <c r="J104" i="1"/>
  <c r="L104" i="1"/>
  <c r="G105" i="1"/>
  <c r="G104" i="1" s="1"/>
  <c r="G103" i="1" s="1"/>
  <c r="G50" i="1" s="1"/>
  <c r="G106" i="1"/>
  <c r="H106" i="1" s="1"/>
  <c r="K106" i="1" s="1"/>
  <c r="H107" i="1"/>
  <c r="K107" i="1" s="1"/>
  <c r="M107" i="1" s="1"/>
  <c r="N107" i="1"/>
  <c r="H108" i="1"/>
  <c r="K108" i="1"/>
  <c r="N108" i="1" s="1"/>
  <c r="M108" i="1"/>
  <c r="H109" i="1"/>
  <c r="K109" i="1" s="1"/>
  <c r="M109" i="1" s="1"/>
  <c r="G110" i="1"/>
  <c r="H110" i="1"/>
  <c r="K110" i="1"/>
  <c r="M110" i="1" s="1"/>
  <c r="G111" i="1"/>
  <c r="J111" i="1"/>
  <c r="L111" i="1"/>
  <c r="H112" i="1"/>
  <c r="K112" i="1" s="1"/>
  <c r="H113" i="1"/>
  <c r="K113" i="1"/>
  <c r="N113" i="1" s="1"/>
  <c r="M113" i="1"/>
  <c r="G114" i="1"/>
  <c r="J114" i="1"/>
  <c r="L114" i="1"/>
  <c r="A115" i="1"/>
  <c r="H115" i="1"/>
  <c r="H114" i="1" s="1"/>
  <c r="H116" i="1"/>
  <c r="K116" i="1"/>
  <c r="N116" i="1" s="1"/>
  <c r="M116" i="1"/>
  <c r="G117" i="1"/>
  <c r="J117" i="1"/>
  <c r="L117" i="1"/>
  <c r="H118" i="1"/>
  <c r="K118" i="1" s="1"/>
  <c r="M118" i="1" s="1"/>
  <c r="H119" i="1"/>
  <c r="K119" i="1" s="1"/>
  <c r="K117" i="1" s="1"/>
  <c r="M117" i="1" s="1"/>
  <c r="C122" i="1"/>
  <c r="J122" i="1"/>
  <c r="L122" i="1"/>
  <c r="H123" i="1"/>
  <c r="K123" i="1"/>
  <c r="H124" i="1"/>
  <c r="K124" i="1" s="1"/>
  <c r="H125" i="1"/>
  <c r="K125" i="1"/>
  <c r="A126" i="1"/>
  <c r="H126" i="1"/>
  <c r="K126" i="1"/>
  <c r="M126" i="1" s="1"/>
  <c r="A127" i="1"/>
  <c r="H127" i="1"/>
  <c r="K127" i="1"/>
  <c r="N127" i="1" s="1"/>
  <c r="M127" i="1"/>
  <c r="C128" i="1"/>
  <c r="H128" i="1" s="1"/>
  <c r="J128" i="1"/>
  <c r="L128" i="1"/>
  <c r="H129" i="1"/>
  <c r="K129" i="1"/>
  <c r="M129" i="1" s="1"/>
  <c r="H130" i="1"/>
  <c r="K130" i="1" s="1"/>
  <c r="K128" i="1" s="1"/>
  <c r="C131" i="1"/>
  <c r="H131" i="1"/>
  <c r="J131" i="1"/>
  <c r="L131" i="1"/>
  <c r="H132" i="1"/>
  <c r="K132" i="1" s="1"/>
  <c r="H133" i="1"/>
  <c r="K133" i="1"/>
  <c r="C135" i="1"/>
  <c r="H135" i="1"/>
  <c r="H136" i="1"/>
  <c r="K136" i="1"/>
  <c r="J138" i="1"/>
  <c r="L138" i="1"/>
  <c r="L137" i="1" s="1"/>
  <c r="H139" i="1"/>
  <c r="K139" i="1"/>
  <c r="C140" i="1"/>
  <c r="C138" i="1" s="1"/>
  <c r="J141" i="1"/>
  <c r="J137" i="1" s="1"/>
  <c r="J134" i="1" s="1"/>
  <c r="J121" i="1" s="1"/>
  <c r="L141" i="1"/>
  <c r="C142" i="1"/>
  <c r="H142" i="1"/>
  <c r="C143" i="1"/>
  <c r="H143" i="1"/>
  <c r="K143" i="1" s="1"/>
  <c r="M143" i="1" s="1"/>
  <c r="C144" i="1"/>
  <c r="H144" i="1" s="1"/>
  <c r="K144" i="1" s="1"/>
  <c r="H145" i="1"/>
  <c r="K145" i="1" s="1"/>
  <c r="M145" i="1" s="1"/>
  <c r="N145" i="1"/>
  <c r="H146" i="1"/>
  <c r="K146" i="1"/>
  <c r="N146" i="1" s="1"/>
  <c r="M146" i="1"/>
  <c r="C147" i="1"/>
  <c r="H147" i="1" s="1"/>
  <c r="K147" i="1" s="1"/>
  <c r="N147" i="1" s="1"/>
  <c r="J150" i="1"/>
  <c r="L150" i="1"/>
  <c r="D151" i="1"/>
  <c r="H152" i="1"/>
  <c r="K152" i="1" s="1"/>
  <c r="M152" i="1" s="1"/>
  <c r="N152" i="1"/>
  <c r="D153" i="1"/>
  <c r="H153" i="1"/>
  <c r="K153" i="1"/>
  <c r="M153" i="1" s="1"/>
  <c r="J154" i="1"/>
  <c r="L154" i="1"/>
  <c r="D155" i="1"/>
  <c r="D154" i="1" s="1"/>
  <c r="J155" i="1"/>
  <c r="L155" i="1"/>
  <c r="A156" i="1"/>
  <c r="H156" i="1"/>
  <c r="A157" i="1"/>
  <c r="H157" i="1"/>
  <c r="K157" i="1"/>
  <c r="N157" i="1" s="1"/>
  <c r="M157" i="1"/>
  <c r="A158" i="1"/>
  <c r="H158" i="1"/>
  <c r="K158" i="1" s="1"/>
  <c r="N158" i="1" s="1"/>
  <c r="A159" i="1"/>
  <c r="H159" i="1"/>
  <c r="K159" i="1" s="1"/>
  <c r="H160" i="1"/>
  <c r="K160" i="1"/>
  <c r="H161" i="1"/>
  <c r="K161" i="1" s="1"/>
  <c r="D162" i="1"/>
  <c r="H162" i="1"/>
  <c r="K162" i="1" s="1"/>
  <c r="H163" i="1"/>
  <c r="K163" i="1"/>
  <c r="M163" i="1" s="1"/>
  <c r="D164" i="1"/>
  <c r="J164" i="1"/>
  <c r="L164" i="1"/>
  <c r="D165" i="1"/>
  <c r="H165" i="1"/>
  <c r="D166" i="1"/>
  <c r="H166" i="1"/>
  <c r="K166" i="1" s="1"/>
  <c r="M166" i="1" s="1"/>
  <c r="N166" i="1"/>
  <c r="H167" i="1"/>
  <c r="K167" i="1"/>
  <c r="N167" i="1" s="1"/>
  <c r="M167" i="1"/>
  <c r="J169" i="1"/>
  <c r="J168" i="1" s="1"/>
  <c r="L169" i="1"/>
  <c r="H170" i="1"/>
  <c r="K170" i="1" s="1"/>
  <c r="D171" i="1"/>
  <c r="H171" i="1"/>
  <c r="K171" i="1" s="1"/>
  <c r="D172" i="1"/>
  <c r="D169" i="1" s="1"/>
  <c r="H172" i="1"/>
  <c r="K172" i="1" s="1"/>
  <c r="M172" i="1" s="1"/>
  <c r="J173" i="1"/>
  <c r="L173" i="1"/>
  <c r="D174" i="1"/>
  <c r="A175" i="1"/>
  <c r="D175" i="1"/>
  <c r="H175" i="1" s="1"/>
  <c r="K175" i="1"/>
  <c r="A176" i="1"/>
  <c r="D176" i="1"/>
  <c r="H176" i="1"/>
  <c r="K176" i="1" s="1"/>
  <c r="M176" i="1" s="1"/>
  <c r="N176" i="1"/>
  <c r="A177" i="1"/>
  <c r="D177" i="1"/>
  <c r="H177" i="1"/>
  <c r="K177" i="1" s="1"/>
  <c r="D178" i="1"/>
  <c r="H178" i="1"/>
  <c r="K178" i="1" s="1"/>
  <c r="L180" i="1"/>
  <c r="E181" i="1"/>
  <c r="E180" i="1" s="1"/>
  <c r="E50" i="1" s="1"/>
  <c r="E196" i="1" s="1"/>
  <c r="J181" i="1"/>
  <c r="J180" i="1" s="1"/>
  <c r="L181" i="1"/>
  <c r="A182" i="1"/>
  <c r="H182" i="1"/>
  <c r="H181" i="1" s="1"/>
  <c r="H180" i="1" s="1"/>
  <c r="K180" i="1" s="1"/>
  <c r="I184" i="1"/>
  <c r="J184" i="1"/>
  <c r="K184" i="1"/>
  <c r="L184" i="1"/>
  <c r="N184" i="1" s="1"/>
  <c r="M184" i="1"/>
  <c r="K185" i="1"/>
  <c r="M185" i="1" s="1"/>
  <c r="K186" i="1"/>
  <c r="K188" i="1"/>
  <c r="M188" i="1" s="1"/>
  <c r="L188" i="1"/>
  <c r="H190" i="1"/>
  <c r="K190" i="1" s="1"/>
  <c r="L190" i="1"/>
  <c r="M190" i="1" s="1"/>
  <c r="I192" i="1"/>
  <c r="L192" i="1" s="1"/>
  <c r="M192" i="1" s="1"/>
  <c r="K192" i="1"/>
  <c r="K193" i="1"/>
  <c r="L193" i="1"/>
  <c r="M193" i="1"/>
  <c r="K194" i="1"/>
  <c r="L194" i="1"/>
  <c r="M194" i="1"/>
  <c r="M128" i="1" l="1"/>
  <c r="N128" i="1"/>
  <c r="M132" i="1"/>
  <c r="N132" i="1"/>
  <c r="K131" i="1"/>
  <c r="N131" i="1" s="1"/>
  <c r="K111" i="1"/>
  <c r="M111" i="1" s="1"/>
  <c r="M112" i="1"/>
  <c r="M35" i="1"/>
  <c r="N35" i="1"/>
  <c r="N22" i="1"/>
  <c r="M22" i="1"/>
  <c r="M186" i="1"/>
  <c r="N186" i="1"/>
  <c r="M177" i="1"/>
  <c r="N177" i="1"/>
  <c r="M171" i="1"/>
  <c r="N171" i="1"/>
  <c r="M159" i="1"/>
  <c r="N159" i="1"/>
  <c r="J149" i="1"/>
  <c r="C141" i="1"/>
  <c r="M136" i="1"/>
  <c r="N136" i="1"/>
  <c r="M131" i="1"/>
  <c r="N111" i="1"/>
  <c r="J103" i="1"/>
  <c r="J50" i="1" s="1"/>
  <c r="J196" i="1" s="1"/>
  <c r="M75" i="1"/>
  <c r="N75" i="1"/>
  <c r="N57" i="1"/>
  <c r="K44" i="1"/>
  <c r="I42" i="1"/>
  <c r="J48" i="1"/>
  <c r="H36" i="1"/>
  <c r="K21" i="1"/>
  <c r="M175" i="1"/>
  <c r="N175" i="1"/>
  <c r="L103" i="1"/>
  <c r="M76" i="1"/>
  <c r="N76" i="1"/>
  <c r="M62" i="1"/>
  <c r="N62" i="1"/>
  <c r="H155" i="1"/>
  <c r="M144" i="1"/>
  <c r="N144" i="1"/>
  <c r="C137" i="1"/>
  <c r="C134" i="1" s="1"/>
  <c r="C121" i="1"/>
  <c r="C50" i="1" s="1"/>
  <c r="H122" i="1"/>
  <c r="M93" i="1"/>
  <c r="H85" i="1"/>
  <c r="M80" i="1"/>
  <c r="N80" i="1"/>
  <c r="M61" i="1"/>
  <c r="N61" i="1"/>
  <c r="K42" i="1"/>
  <c r="N42" i="1" s="1"/>
  <c r="M34" i="1"/>
  <c r="N34" i="1"/>
  <c r="M30" i="1"/>
  <c r="N30" i="1"/>
  <c r="M24" i="1"/>
  <c r="N24" i="1"/>
  <c r="L149" i="1"/>
  <c r="M81" i="1"/>
  <c r="N81" i="1"/>
  <c r="D173" i="1"/>
  <c r="D168" i="1" s="1"/>
  <c r="H174" i="1"/>
  <c r="M170" i="1"/>
  <c r="N170" i="1"/>
  <c r="K169" i="1"/>
  <c r="M158" i="1"/>
  <c r="M147" i="1"/>
  <c r="M125" i="1"/>
  <c r="N125" i="1"/>
  <c r="M119" i="1"/>
  <c r="N98" i="1"/>
  <c r="M79" i="1"/>
  <c r="N79" i="1"/>
  <c r="K70" i="1"/>
  <c r="H65" i="1"/>
  <c r="M33" i="1"/>
  <c r="N33" i="1"/>
  <c r="M17" i="1"/>
  <c r="N17" i="1"/>
  <c r="M12" i="1"/>
  <c r="N12" i="1"/>
  <c r="M73" i="1"/>
  <c r="N73" i="1"/>
  <c r="H55" i="1"/>
  <c r="K56" i="1"/>
  <c r="M53" i="1"/>
  <c r="N53" i="1"/>
  <c r="M27" i="1"/>
  <c r="N27" i="1"/>
  <c r="M11" i="1"/>
  <c r="N11" i="1"/>
  <c r="M162" i="1"/>
  <c r="N162" i="1"/>
  <c r="M84" i="1"/>
  <c r="N84" i="1"/>
  <c r="H164" i="1"/>
  <c r="K165" i="1"/>
  <c r="H141" i="1"/>
  <c r="K141" i="1" s="1"/>
  <c r="M141" i="1" s="1"/>
  <c r="K142" i="1"/>
  <c r="M130" i="1"/>
  <c r="N130" i="1"/>
  <c r="M124" i="1"/>
  <c r="N124" i="1"/>
  <c r="M83" i="1"/>
  <c r="N83" i="1"/>
  <c r="M78" i="1"/>
  <c r="N78" i="1"/>
  <c r="M28" i="1"/>
  <c r="N28" i="1"/>
  <c r="M23" i="1"/>
  <c r="N23" i="1"/>
  <c r="M16" i="1"/>
  <c r="N16" i="1"/>
  <c r="N10" i="1"/>
  <c r="M10" i="1"/>
  <c r="L168" i="1"/>
  <c r="M169" i="1"/>
  <c r="N169" i="1"/>
  <c r="M180" i="1"/>
  <c r="N180" i="1"/>
  <c r="N172" i="1"/>
  <c r="M161" i="1"/>
  <c r="N161" i="1"/>
  <c r="L134" i="1"/>
  <c r="M133" i="1"/>
  <c r="N133" i="1"/>
  <c r="M123" i="1"/>
  <c r="N123" i="1"/>
  <c r="K122" i="1"/>
  <c r="M106" i="1"/>
  <c r="N106" i="1"/>
  <c r="N100" i="1"/>
  <c r="M94" i="1"/>
  <c r="M77" i="1"/>
  <c r="N77" i="1"/>
  <c r="F64" i="1"/>
  <c r="F50" i="1" s="1"/>
  <c r="F36" i="1"/>
  <c r="N15" i="1"/>
  <c r="M15" i="1"/>
  <c r="M178" i="1"/>
  <c r="N178" i="1"/>
  <c r="M160" i="1"/>
  <c r="N160" i="1"/>
  <c r="D150" i="1"/>
  <c r="H151" i="1"/>
  <c r="N141" i="1"/>
  <c r="N112" i="1"/>
  <c r="N109" i="1"/>
  <c r="N86" i="1"/>
  <c r="K85" i="1"/>
  <c r="M85" i="1" s="1"/>
  <c r="M82" i="1"/>
  <c r="N82" i="1"/>
  <c r="N67" i="1"/>
  <c r="M58" i="1"/>
  <c r="N58" i="1"/>
  <c r="B52" i="1"/>
  <c r="B50" i="1" s="1"/>
  <c r="I46" i="1"/>
  <c r="I48" i="1" s="1"/>
  <c r="I196" i="1" s="1"/>
  <c r="M32" i="1"/>
  <c r="N32" i="1"/>
  <c r="N25" i="1"/>
  <c r="C196" i="1"/>
  <c r="M14" i="1"/>
  <c r="N14" i="1"/>
  <c r="K9" i="1"/>
  <c r="N185" i="1"/>
  <c r="N163" i="1"/>
  <c r="N129" i="1"/>
  <c r="N126" i="1"/>
  <c r="H111" i="1"/>
  <c r="N71" i="1"/>
  <c r="M65" i="1"/>
  <c r="N54" i="1"/>
  <c r="L48" i="1"/>
  <c r="N43" i="1"/>
  <c r="N31" i="1"/>
  <c r="N29" i="1"/>
  <c r="K156" i="1"/>
  <c r="H117" i="1"/>
  <c r="K115" i="1"/>
  <c r="H60" i="1"/>
  <c r="M43" i="1"/>
  <c r="G19" i="1"/>
  <c r="G48" i="1" s="1"/>
  <c r="G196" i="1" s="1"/>
  <c r="H13" i="1"/>
  <c r="K13" i="1" s="1"/>
  <c r="H169" i="1"/>
  <c r="N153" i="1"/>
  <c r="N110" i="1"/>
  <c r="N87" i="1"/>
  <c r="K65" i="1"/>
  <c r="N38" i="1"/>
  <c r="F19" i="1"/>
  <c r="F8" i="1"/>
  <c r="K182" i="1"/>
  <c r="H140" i="1"/>
  <c r="K135" i="1"/>
  <c r="H105" i="1"/>
  <c r="K74" i="1"/>
  <c r="N68" i="1"/>
  <c r="N66" i="1"/>
  <c r="N26" i="1"/>
  <c r="B19" i="1"/>
  <c r="M156" i="1" l="1"/>
  <c r="K155" i="1"/>
  <c r="D149" i="1"/>
  <c r="D50" i="1" s="1"/>
  <c r="D196" i="1" s="1"/>
  <c r="F48" i="1"/>
  <c r="H150" i="1"/>
  <c r="K151" i="1"/>
  <c r="H19" i="1"/>
  <c r="M74" i="1"/>
  <c r="N74" i="1"/>
  <c r="N13" i="1"/>
  <c r="M13" i="1"/>
  <c r="H8" i="1"/>
  <c r="B48" i="1"/>
  <c r="H48" i="1" s="1"/>
  <c r="M122" i="1"/>
  <c r="N122" i="1"/>
  <c r="K46" i="1"/>
  <c r="K72" i="1"/>
  <c r="M165" i="1"/>
  <c r="K164" i="1"/>
  <c r="N165" i="1"/>
  <c r="K8" i="1"/>
  <c r="K19" i="1"/>
  <c r="M9" i="1"/>
  <c r="N9" i="1"/>
  <c r="H173" i="1"/>
  <c r="H168" i="1" s="1"/>
  <c r="K174" i="1"/>
  <c r="M21" i="1"/>
  <c r="N21" i="1"/>
  <c r="K36" i="1"/>
  <c r="F196" i="1"/>
  <c r="K64" i="1"/>
  <c r="N65" i="1"/>
  <c r="B196" i="1"/>
  <c r="H196" i="1" s="1"/>
  <c r="K196" i="1" s="1"/>
  <c r="H50" i="1"/>
  <c r="K50" i="1" s="1"/>
  <c r="M42" i="1"/>
  <c r="H104" i="1"/>
  <c r="H103" i="1" s="1"/>
  <c r="K105" i="1"/>
  <c r="M135" i="1"/>
  <c r="N135" i="1"/>
  <c r="H138" i="1"/>
  <c r="K140" i="1"/>
  <c r="N85" i="1"/>
  <c r="H59" i="1"/>
  <c r="H52" i="1" s="1"/>
  <c r="K60" i="1"/>
  <c r="H64" i="1"/>
  <c r="M182" i="1"/>
  <c r="K181" i="1"/>
  <c r="N182" i="1"/>
  <c r="M115" i="1"/>
  <c r="N115" i="1"/>
  <c r="K114" i="1"/>
  <c r="M142" i="1"/>
  <c r="N142" i="1"/>
  <c r="M70" i="1"/>
  <c r="N70" i="1"/>
  <c r="M56" i="1"/>
  <c r="K55" i="1"/>
  <c r="N56" i="1"/>
  <c r="L121" i="1"/>
  <c r="H154" i="1"/>
  <c r="M44" i="1"/>
  <c r="N44" i="1"/>
  <c r="M19" i="1" l="1"/>
  <c r="N19" i="1"/>
  <c r="M140" i="1"/>
  <c r="N140" i="1"/>
  <c r="K48" i="1"/>
  <c r="N36" i="1"/>
  <c r="M36" i="1"/>
  <c r="M8" i="1"/>
  <c r="N8" i="1"/>
  <c r="M151" i="1"/>
  <c r="K150" i="1"/>
  <c r="N151" i="1"/>
  <c r="M114" i="1"/>
  <c r="N114" i="1"/>
  <c r="N181" i="1"/>
  <c r="M181" i="1"/>
  <c r="H137" i="1"/>
  <c r="K138" i="1"/>
  <c r="H149" i="1"/>
  <c r="K149" i="1" s="1"/>
  <c r="M164" i="1"/>
  <c r="N164" i="1"/>
  <c r="N46" i="1"/>
  <c r="M46" i="1"/>
  <c r="M174" i="1"/>
  <c r="K173" i="1"/>
  <c r="N174" i="1"/>
  <c r="K154" i="1"/>
  <c r="M155" i="1"/>
  <c r="N155" i="1"/>
  <c r="M55" i="1"/>
  <c r="N55" i="1"/>
  <c r="L50" i="1"/>
  <c r="M64" i="1"/>
  <c r="N64" i="1"/>
  <c r="K59" i="1"/>
  <c r="N60" i="1"/>
  <c r="M60" i="1"/>
  <c r="M105" i="1"/>
  <c r="K104" i="1"/>
  <c r="N105" i="1"/>
  <c r="M72" i="1"/>
  <c r="N72" i="1"/>
  <c r="M154" i="1" l="1"/>
  <c r="N154" i="1"/>
  <c r="N48" i="1"/>
  <c r="M48" i="1"/>
  <c r="M50" i="1"/>
  <c r="N50" i="1"/>
  <c r="L196" i="1"/>
  <c r="M173" i="1"/>
  <c r="N173" i="1"/>
  <c r="K168" i="1"/>
  <c r="N149" i="1"/>
  <c r="M149" i="1"/>
  <c r="N150" i="1"/>
  <c r="M150" i="1"/>
  <c r="K103" i="1"/>
  <c r="M104" i="1"/>
  <c r="N104" i="1"/>
  <c r="N138" i="1"/>
  <c r="M138" i="1"/>
  <c r="M59" i="1"/>
  <c r="N59" i="1"/>
  <c r="K52" i="1"/>
  <c r="K137" i="1"/>
  <c r="H134" i="1"/>
  <c r="H121" i="1" s="1"/>
  <c r="K121" i="1" s="1"/>
  <c r="M196" i="1" l="1"/>
  <c r="N196" i="1"/>
  <c r="M137" i="1"/>
  <c r="N137" i="1"/>
  <c r="K134" i="1"/>
  <c r="M52" i="1"/>
  <c r="N52" i="1"/>
  <c r="M168" i="1"/>
  <c r="N168" i="1"/>
  <c r="M121" i="1"/>
  <c r="N121" i="1"/>
  <c r="M103" i="1"/>
  <c r="N103" i="1"/>
  <c r="N134" i="1" l="1"/>
  <c r="M134" i="1"/>
</calcChain>
</file>

<file path=xl/sharedStrings.xml><?xml version="1.0" encoding="utf-8"?>
<sst xmlns="http://schemas.openxmlformats.org/spreadsheetml/2006/main" count="184" uniqueCount="184">
  <si>
    <t xml:space="preserve">TOTAL GASTOS </t>
  </si>
  <si>
    <t>Cuota de erradicación Peste Porcina Clásica</t>
  </si>
  <si>
    <t>Cuota de fomento porcícola</t>
  </si>
  <si>
    <t xml:space="preserve">RESERVA FUTURAS INVERSIONES Y GASTOS </t>
  </si>
  <si>
    <t>FONDO DE EMERGENCIA PPC</t>
  </si>
  <si>
    <t>FONDO DE EMERGENCIA FNP</t>
  </si>
  <si>
    <t>Cuota de administración PPC</t>
  </si>
  <si>
    <t>Cuota de administración FNP</t>
  </si>
  <si>
    <t>CUOTA DE ADMINISTRACIÓN</t>
  </si>
  <si>
    <t>Control y monitoreo de enfermedades en granjas de Colombia</t>
  </si>
  <si>
    <t>TOTAL ÁREA SANIDAD</t>
  </si>
  <si>
    <t>Apoyo Diagnostico lineas base (ICA)</t>
  </si>
  <si>
    <t>Diagnóstico rutinario, Combos y PRRS</t>
  </si>
  <si>
    <t>Diagnostico rutinario con laboratorios privados</t>
  </si>
  <si>
    <t>Diagnóstico importados</t>
  </si>
  <si>
    <t>Compras de insumos</t>
  </si>
  <si>
    <t>Diagnóstico rutinario, Integrado y PRRS</t>
  </si>
  <si>
    <t>Diagnostico rutinario con laboratorios oficiales</t>
  </si>
  <si>
    <t>Diagnostico</t>
  </si>
  <si>
    <t>Material de apoyo</t>
  </si>
  <si>
    <t>Seminario en mejoramiento procesos administrativos y de calidad en la comercialización de carne</t>
  </si>
  <si>
    <t>Buenas practicas en el manejo de medicamentos veterinarios</t>
  </si>
  <si>
    <t xml:space="preserve">  Talleres y seminarios</t>
  </si>
  <si>
    <t>Curso virtual en bienestar animal</t>
  </si>
  <si>
    <t>Proyecto Convenio de Asociación-CVC</t>
  </si>
  <si>
    <t>Curso virtual en productos innovadores</t>
  </si>
  <si>
    <t>curso de operarios en granja</t>
  </si>
  <si>
    <t xml:space="preserve">  Vinculación tecnologica</t>
  </si>
  <si>
    <t>Transferencia de tecnología</t>
  </si>
  <si>
    <t>Jornadas de divulgación resultados de investigación</t>
  </si>
  <si>
    <t>Capacitación anual</t>
  </si>
  <si>
    <t>Proyectos</t>
  </si>
  <si>
    <t>Investigación y desarrollo</t>
  </si>
  <si>
    <t>TOTAL ÁREA INVESTIGACIÓN Y TRANSFERENCIA</t>
  </si>
  <si>
    <t>Apoyo autorización sanitaria</t>
  </si>
  <si>
    <t>Carta Meta</t>
  </si>
  <si>
    <t>Carta La jagua de Iberico</t>
  </si>
  <si>
    <t>Carta Valle FNP</t>
  </si>
  <si>
    <t>Contrapartida Gobernación Cundinamarca FNP</t>
  </si>
  <si>
    <t>Convenio Pereira FNP</t>
  </si>
  <si>
    <t xml:space="preserve">   Contrapartidas FNP</t>
  </si>
  <si>
    <t xml:space="preserve">     Convenio Pereira</t>
  </si>
  <si>
    <t xml:space="preserve">     Convenio Gobernacion Cundinamarca</t>
  </si>
  <si>
    <t xml:space="preserve">   Contrapartidas Gobernaciones y/o Alcaldias</t>
  </si>
  <si>
    <t>Convenios</t>
  </si>
  <si>
    <t>Fortalecimiento Asociativo</t>
  </si>
  <si>
    <t>Gestión de servicios</t>
  </si>
  <si>
    <t>Fortalecimiento Empresarial</t>
  </si>
  <si>
    <t>Fortalecimiento de competencias en bienestar animal e inocuidad</t>
  </si>
  <si>
    <t>Profesionales de apoyo en implementación y certificación granja y transporte</t>
  </si>
  <si>
    <t>Inocuidad y bienestar animal en producción primaria y transporte</t>
  </si>
  <si>
    <t>Granjas modelo y mesas de trabajo interinstitucionales e intergremiales</t>
  </si>
  <si>
    <t xml:space="preserve">Acompañamiento y apoyo </t>
  </si>
  <si>
    <t xml:space="preserve">Sostenibilidad y responsabilidad social empresarial en producción primaria </t>
  </si>
  <si>
    <t>Premios PORKS Colombia 2019</t>
  </si>
  <si>
    <t>Taller técnico de bioseguridad, sanidad y productividad</t>
  </si>
  <si>
    <t>Acompañamiento (Certificación en granja y transporte)</t>
  </si>
  <si>
    <t>Programa nacional de bioseguridad y productividad-PNBSP</t>
  </si>
  <si>
    <t>TOTAL ÁREA TÉCNICA</t>
  </si>
  <si>
    <t>Soporte operativo</t>
  </si>
  <si>
    <t>Mantenimiento y actualización plataforma</t>
  </si>
  <si>
    <t>Administración de la base de datos</t>
  </si>
  <si>
    <t>Apoyo actividades de vigilancia activa</t>
  </si>
  <si>
    <t>Vigilancia Epidemiológica</t>
  </si>
  <si>
    <t>Divulgación</t>
  </si>
  <si>
    <t>Capacitación</t>
  </si>
  <si>
    <t>Capacitación y divulgación</t>
  </si>
  <si>
    <t>Disposición de residuos biológicos</t>
  </si>
  <si>
    <t>Contratación de personal</t>
  </si>
  <si>
    <t>Biológico</t>
  </si>
  <si>
    <t>Auxilios distribuidores</t>
  </si>
  <si>
    <t>Suministros clínicos y dotaciones</t>
  </si>
  <si>
    <t>Identificación</t>
  </si>
  <si>
    <t>Vacunacion e identificacion de Porcinos</t>
  </si>
  <si>
    <t>TOTAL ÁREA ERRADICACIÓN PPC</t>
  </si>
  <si>
    <t>Viajes Gestión Regional</t>
  </si>
  <si>
    <t>ChefRegionales PorkColombia</t>
  </si>
  <si>
    <t>Cerdificado PorkColombia (Expertos de carne de cerdo)</t>
  </si>
  <si>
    <t>Eventos Apertura Nuevos Negocios</t>
  </si>
  <si>
    <t>Material Promocional y Publicitario</t>
  </si>
  <si>
    <t xml:space="preserve">Gestion de actividades nutricionales </t>
  </si>
  <si>
    <t>Gestion y seguimiento comercializacion y nuevos negocios</t>
  </si>
  <si>
    <t>Comercialización y Nuevos Negocios</t>
  </si>
  <si>
    <t>Eventos especializados (Sector, gastronomicos , sector salud)</t>
  </si>
  <si>
    <t>Agroexpo</t>
  </si>
  <si>
    <t>Seguimiento gestión a eventos de sensibilización de las bondades de la carne de cerdo</t>
  </si>
  <si>
    <t>Festival PorkColombia</t>
  </si>
  <si>
    <t>Material de promocion al consumo</t>
  </si>
  <si>
    <t>Capacitación anual contratistas</t>
  </si>
  <si>
    <t>Asesor Gastronómico Ejecutivo</t>
  </si>
  <si>
    <t>Cocina PorkColombia</t>
  </si>
  <si>
    <t>Activaciones de consumo</t>
  </si>
  <si>
    <t>Fomento al Consumo Regional</t>
  </si>
  <si>
    <t>Producción Digital</t>
  </si>
  <si>
    <t>Pauta digital</t>
  </si>
  <si>
    <t>Desarrollo Digital (Concurso Sabor Porkcolombia)</t>
  </si>
  <si>
    <t>Kit Publicitario</t>
  </si>
  <si>
    <t>Free Press Influenciadores</t>
  </si>
  <si>
    <t>Sostenimiento y Desarrollo Digital</t>
  </si>
  <si>
    <t>Seguimiento y gestion comunicación integral.</t>
  </si>
  <si>
    <t>Herramienta Branding y Marketing</t>
  </si>
  <si>
    <t>Pauta institucional</t>
  </si>
  <si>
    <t>Consultoría Mercado</t>
  </si>
  <si>
    <t>Campaña de publicidad</t>
  </si>
  <si>
    <t>Campaña de fomento al consumo</t>
  </si>
  <si>
    <t>Estudio NSOP (Carnicerias)</t>
  </si>
  <si>
    <t>Estudio del Consumidor</t>
  </si>
  <si>
    <t>Evaluación Neurologica de la  Campaña Vigente/Eye Tracking</t>
  </si>
  <si>
    <t>Monitoreo de Medios</t>
  </si>
  <si>
    <t>Brand Equity Tracking</t>
  </si>
  <si>
    <t xml:space="preserve">Home Panel </t>
  </si>
  <si>
    <t>Investigación de mercados</t>
  </si>
  <si>
    <t>TOTAL ÁREA MERCADEO</t>
  </si>
  <si>
    <t>Sello de producto en la cadena de transformación</t>
  </si>
  <si>
    <t>Implementación medición de grasa</t>
  </si>
  <si>
    <t>Asesorias BPM y HACCP</t>
  </si>
  <si>
    <t>Aseguramiento de la calidad</t>
  </si>
  <si>
    <t>Seguimiento Mercados Internacionales</t>
  </si>
  <si>
    <t>Actualización Información Nacional</t>
  </si>
  <si>
    <t>Monitoreo Precios de la Carne al Consumidor</t>
  </si>
  <si>
    <t>Sistemas de información de mercados</t>
  </si>
  <si>
    <t>Acceso a Mercados</t>
  </si>
  <si>
    <t>Fortalecimiento institucional</t>
  </si>
  <si>
    <t>TOTAL ÁREA ECONÓMICA</t>
  </si>
  <si>
    <t>TOTAL PROGRAMAS Y PROYECTOS</t>
  </si>
  <si>
    <t>TOTAL FUNCIONAMIENTO</t>
  </si>
  <si>
    <t>SUBTOTAL GASTOS ADMINISTRATIVOS DE RECAUDO</t>
  </si>
  <si>
    <t>Jornadas de trabajo con los coordinadores regionales(trabajo con autoridades)</t>
  </si>
  <si>
    <t>Trabajo con autoridades</t>
  </si>
  <si>
    <t>Movilización Jefe Coordinadores de recaudo</t>
  </si>
  <si>
    <t>Fortalecimiento del beneficio formal</t>
  </si>
  <si>
    <t>Jornadas de trabajo con los coordinadores regionales (visita plantas)</t>
  </si>
  <si>
    <t>Movilización coordinadores</t>
  </si>
  <si>
    <t>Seguimiento al recaudo regional</t>
  </si>
  <si>
    <t>Control al recaudo</t>
  </si>
  <si>
    <t>GASTOS ADMINISTRATIVOS DE RECAUDO</t>
  </si>
  <si>
    <t>SUBTOTAL GASTOS GENERALES</t>
  </si>
  <si>
    <t>Gastos comisión de fomento</t>
  </si>
  <si>
    <t>Cuota auditaje CGR</t>
  </si>
  <si>
    <t>Arriendos</t>
  </si>
  <si>
    <t>Servicios públicos</t>
  </si>
  <si>
    <t>Aseo, vigilancia y cafetería</t>
  </si>
  <si>
    <t>Gastos de viaje</t>
  </si>
  <si>
    <t>Comisiones y gastos bancarios</t>
  </si>
  <si>
    <t>Seguros, impuestos y gastos legales</t>
  </si>
  <si>
    <t xml:space="preserve">Mantenimiento </t>
  </si>
  <si>
    <t xml:space="preserve">Capacitación </t>
  </si>
  <si>
    <t>Transportes, fletes y acarreos</t>
  </si>
  <si>
    <t>Correo</t>
  </si>
  <si>
    <t>Materiales y suministros</t>
  </si>
  <si>
    <t>Impresos y publicaciones</t>
  </si>
  <si>
    <t>Muebles, equipos de oficina y software</t>
  </si>
  <si>
    <t>GASTOS GENERALES</t>
  </si>
  <si>
    <t>SUBTOTAL GASTOS PERSONAL</t>
  </si>
  <si>
    <t>Aportes ICBF y SENA</t>
  </si>
  <si>
    <t>Caja de compensación</t>
  </si>
  <si>
    <t>Seguros y/o fondos privados</t>
  </si>
  <si>
    <t>Intereses de cesantías</t>
  </si>
  <si>
    <t>Cesantías</t>
  </si>
  <si>
    <t xml:space="preserve">Dotación y suministro </t>
  </si>
  <si>
    <t>Honorarios</t>
  </si>
  <si>
    <t>Prima legal</t>
  </si>
  <si>
    <t>Vacaciones</t>
  </si>
  <si>
    <t>Sueldos</t>
  </si>
  <si>
    <t>Servicios de personal</t>
  </si>
  <si>
    <t>GASTOS DE PERSONAL</t>
  </si>
  <si>
    <t>% PARTICI-PACIÓN</t>
  </si>
  <si>
    <t>ACUERDO 01/20</t>
  </si>
  <si>
    <t>TOTAL EJECUCIÓN</t>
  </si>
  <si>
    <t>TOTAL PRESUPUESTO</t>
  </si>
  <si>
    <t>PRESUPUESTO AJUSTADO OCT-DIC ACUERDO 16</t>
  </si>
  <si>
    <t>GASTOS DE FUNCIONAMIENTO</t>
  </si>
  <si>
    <t>TOTAL INVERSIÓN</t>
  </si>
  <si>
    <t xml:space="preserve">PROGRAMA PPC </t>
  </si>
  <si>
    <t>PROGRAMAS MERCADEO</t>
  </si>
  <si>
    <t>PROGRAMA SANIDAD</t>
  </si>
  <si>
    <t>PROGRAMAS INVESTIGACIÓN Y TRANSFERENCIA DE TÉCNOLOGÍA</t>
  </si>
  <si>
    <t>PROGRAMAS TÉCNICA</t>
  </si>
  <si>
    <t>PROGRAMAS ECONÓMICA</t>
  </si>
  <si>
    <t>CUENTAS</t>
  </si>
  <si>
    <t>ANEXO 2</t>
  </si>
  <si>
    <t>PRESUPUESTO DE GASTOS DE FUNCIONAMIENTO E INVERSIÓN OCTUBRE-DICIEMBRE 2.019</t>
  </si>
  <si>
    <t>DIRECCIÓN DE PLANEACIÓN Y SEGUIMIENTO PRESUPUESTAL</t>
  </si>
  <si>
    <t>MINISTERIO DE AGRICULTURA 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</si>
</sst>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[$€-2]\ * #,##0.00_ ;_ [$€-2]\ * \-#,##0.00_ ;_ [$€-2]\ * &quot;-&quot;??_ "/>
    <numFmt numFmtId="167" formatCode="_ * #,##0_ ;_ * \-#,##0_ ;_ * &quot;-&quot;_ ;_ @_ "/>
  </numFmts>
  <fonts count="12" x14ac:knownFonts="1">
    <font>
      <sz val="10"/>
      <name val="Arial"/>
    </font>
    <font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86"/>
    </font>
    <font>
      <b/>
      <sz val="11"/>
      <color indexed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10" fontId="1" fillId="0" borderId="0" xfId="1" applyNumberFormat="1" applyFont="1"/>
    <xf numFmtId="3" fontId="1" fillId="0" borderId="0" xfId="0" applyNumberFormat="1" applyFont="1"/>
    <xf numFmtId="164" fontId="1" fillId="2" borderId="0" xfId="2" applyFont="1" applyFill="1"/>
    <xf numFmtId="164" fontId="3" fillId="2" borderId="0" xfId="2" applyFont="1" applyFill="1"/>
    <xf numFmtId="0" fontId="3" fillId="0" borderId="0" xfId="0" applyFont="1"/>
    <xf numFmtId="3" fontId="3" fillId="0" borderId="0" xfId="0" applyNumberFormat="1" applyFont="1"/>
    <xf numFmtId="9" fontId="1" fillId="2" borderId="0" xfId="1" applyFont="1" applyFill="1"/>
    <xf numFmtId="37" fontId="0" fillId="0" borderId="0" xfId="0" applyNumberFormat="1"/>
    <xf numFmtId="10" fontId="1" fillId="2" borderId="0" xfId="0" applyNumberFormat="1" applyFont="1" applyFill="1"/>
    <xf numFmtId="3" fontId="1" fillId="2" borderId="0" xfId="0" applyNumberFormat="1" applyFont="1" applyFill="1"/>
    <xf numFmtId="37" fontId="1" fillId="0" borderId="0" xfId="0" applyNumberFormat="1" applyFont="1"/>
    <xf numFmtId="10" fontId="2" fillId="2" borderId="0" xfId="1" applyNumberForma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0" borderId="2" xfId="0" applyFont="1" applyBorder="1"/>
    <xf numFmtId="3" fontId="4" fillId="0" borderId="2" xfId="0" applyNumberFormat="1" applyFont="1" applyBorder="1"/>
    <xf numFmtId="3" fontId="5" fillId="0" borderId="2" xfId="0" applyNumberFormat="1" applyFont="1" applyBorder="1"/>
    <xf numFmtId="0" fontId="4" fillId="2" borderId="3" xfId="0" applyFont="1" applyFill="1" applyBorder="1"/>
    <xf numFmtId="10" fontId="6" fillId="2" borderId="4" xfId="1" applyNumberFormat="1" applyFont="1" applyFill="1" applyBorder="1"/>
    <xf numFmtId="3" fontId="6" fillId="2" borderId="5" xfId="0" applyNumberFormat="1" applyFont="1" applyFill="1" applyBorder="1"/>
    <xf numFmtId="3" fontId="5" fillId="2" borderId="5" xfId="0" applyNumberFormat="1" applyFont="1" applyFill="1" applyBorder="1"/>
    <xf numFmtId="0" fontId="5" fillId="2" borderId="6" xfId="0" applyFont="1" applyFill="1" applyBorder="1"/>
    <xf numFmtId="3" fontId="4" fillId="2" borderId="5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/>
    <xf numFmtId="10" fontId="7" fillId="2" borderId="4" xfId="1" applyNumberFormat="1" applyFont="1" applyFill="1" applyBorder="1"/>
    <xf numFmtId="0" fontId="4" fillId="2" borderId="6" xfId="0" applyFont="1" applyFill="1" applyBorder="1"/>
    <xf numFmtId="165" fontId="2" fillId="2" borderId="0" xfId="0" applyNumberFormat="1" applyFont="1" applyFill="1"/>
    <xf numFmtId="37" fontId="5" fillId="2" borderId="6" xfId="0" applyNumberFormat="1" applyFont="1" applyFill="1" applyBorder="1"/>
    <xf numFmtId="3" fontId="6" fillId="2" borderId="5" xfId="3" applyNumberFormat="1" applyFont="1" applyFill="1" applyBorder="1"/>
    <xf numFmtId="37" fontId="6" fillId="2" borderId="6" xfId="0" applyNumberFormat="1" applyFont="1" applyFill="1" applyBorder="1"/>
    <xf numFmtId="3" fontId="7" fillId="2" borderId="5" xfId="0" applyNumberFormat="1" applyFont="1" applyFill="1" applyBorder="1"/>
    <xf numFmtId="37" fontId="7" fillId="2" borderId="6" xfId="0" applyNumberFormat="1" applyFont="1" applyFill="1" applyBorder="1"/>
    <xf numFmtId="3" fontId="0" fillId="2" borderId="0" xfId="0" applyNumberFormat="1" applyFill="1"/>
    <xf numFmtId="0" fontId="8" fillId="2" borderId="0" xfId="0" applyFont="1" applyFill="1"/>
    <xf numFmtId="37" fontId="7" fillId="2" borderId="6" xfId="0" applyNumberFormat="1" applyFont="1" applyFill="1" applyBorder="1" applyAlignment="1">
      <alignment horizontal="left"/>
    </xf>
    <xf numFmtId="37" fontId="6" fillId="2" borderId="6" xfId="0" applyNumberFormat="1" applyFont="1" applyFill="1" applyBorder="1" applyAlignment="1">
      <alignment horizontal="left"/>
    </xf>
    <xf numFmtId="3" fontId="6" fillId="2" borderId="5" xfId="4" applyNumberFormat="1" applyFont="1" applyFill="1" applyBorder="1"/>
    <xf numFmtId="37" fontId="7" fillId="2" borderId="6" xfId="0" applyNumberFormat="1" applyFont="1" applyFill="1" applyBorder="1" applyAlignment="1">
      <alignment horizontal="left" wrapText="1"/>
    </xf>
    <xf numFmtId="3" fontId="7" fillId="2" borderId="5" xfId="4" applyNumberFormat="1" applyFont="1" applyFill="1" applyBorder="1"/>
    <xf numFmtId="164" fontId="5" fillId="2" borderId="5" xfId="2" applyFont="1" applyFill="1" applyBorder="1"/>
    <xf numFmtId="166" fontId="7" fillId="2" borderId="7" xfId="0" applyNumberFormat="1" applyFont="1" applyFill="1" applyBorder="1" applyAlignment="1">
      <alignment horizontal="left" indent="1"/>
    </xf>
    <xf numFmtId="164" fontId="8" fillId="2" borderId="0" xfId="2" applyFont="1" applyFill="1"/>
    <xf numFmtId="164" fontId="7" fillId="2" borderId="5" xfId="2" applyFont="1" applyFill="1" applyBorder="1"/>
    <xf numFmtId="167" fontId="4" fillId="2" borderId="5" xfId="0" applyNumberFormat="1" applyFont="1" applyFill="1" applyBorder="1"/>
    <xf numFmtId="3" fontId="5" fillId="2" borderId="8" xfId="0" applyNumberFormat="1" applyFont="1" applyFill="1" applyBorder="1"/>
    <xf numFmtId="0" fontId="5" fillId="2" borderId="9" xfId="0" applyFont="1" applyFill="1" applyBorder="1"/>
    <xf numFmtId="3" fontId="6" fillId="2" borderId="5" xfId="2" applyNumberFormat="1" applyFont="1" applyFill="1" applyBorder="1"/>
    <xf numFmtId="0" fontId="6" fillId="2" borderId="6" xfId="0" applyFont="1" applyFill="1" applyBorder="1"/>
    <xf numFmtId="3" fontId="4" fillId="2" borderId="5" xfId="2" applyNumberFormat="1" applyFont="1" applyFill="1" applyBorder="1"/>
    <xf numFmtId="3" fontId="4" fillId="2" borderId="6" xfId="0" applyNumberFormat="1" applyFont="1" applyFill="1" applyBorder="1"/>
    <xf numFmtId="3" fontId="5" fillId="2" borderId="6" xfId="0" applyNumberFormat="1" applyFont="1" applyFill="1" applyBorder="1"/>
    <xf numFmtId="3" fontId="9" fillId="2" borderId="5" xfId="0" applyNumberFormat="1" applyFont="1" applyFill="1" applyBorder="1"/>
    <xf numFmtId="0" fontId="0" fillId="2" borderId="0" xfId="0" applyFill="1" applyAlignment="1">
      <alignment horizontal="center"/>
    </xf>
    <xf numFmtId="3" fontId="6" fillId="2" borderId="6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/>
    </xf>
    <xf numFmtId="0" fontId="5" fillId="2" borderId="13" xfId="0" applyFont="1" applyFill="1" applyBorder="1" applyAlignment="1">
      <alignment horizontal="centerContinuous"/>
    </xf>
    <xf numFmtId="0" fontId="10" fillId="2" borderId="13" xfId="0" applyFont="1" applyFill="1" applyBorder="1" applyAlignment="1">
      <alignment horizontal="centerContinuous"/>
    </xf>
    <xf numFmtId="0" fontId="11" fillId="2" borderId="13" xfId="0" applyFont="1" applyFill="1" applyBorder="1" applyAlignment="1">
      <alignment horizontal="centerContinuous"/>
    </xf>
    <xf numFmtId="3" fontId="5" fillId="2" borderId="13" xfId="0" applyNumberFormat="1" applyFont="1" applyFill="1" applyBorder="1" applyAlignment="1">
      <alignment horizontal="centerContinuous"/>
    </xf>
    <xf numFmtId="3" fontId="11" fillId="2" borderId="13" xfId="0" applyNumberFormat="1" applyFont="1" applyFill="1" applyBorder="1" applyAlignment="1">
      <alignment horizontal="centerContinuous"/>
    </xf>
    <xf numFmtId="0" fontId="5" fillId="2" borderId="0" xfId="0" applyFont="1" applyFill="1" applyAlignment="1">
      <alignment horizontal="center"/>
    </xf>
  </cellXfs>
  <cellStyles count="5">
    <cellStyle name="Millares 2 2" xfId="3" xr:uid="{09484A03-A32D-48D1-910A-A4959880460E}"/>
    <cellStyle name="Millares 23 2" xfId="2" xr:uid="{1E353B09-5CA7-4C93-858E-16B0193DD77D}"/>
    <cellStyle name="Normal" xfId="0" builtinId="0"/>
    <cellStyle name="Normal 17" xfId="4" xr:uid="{C967BE6D-6816-4749-95DF-F9E93711E913}"/>
    <cellStyle name="Porcentaje 10 2" xfId="1" xr:uid="{9B6A0083-DE9E-4ABF-9D59-22848F7DC1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8\Presupuesto%202018\Presupuesto%202018%20v.2\Anexos\Presupuesto%20Sanida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7\AJUSTE%20SALARIOSdef\Ajuste%20salariosde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5\PRESUPUESTO%202015\PRESUPUESTO%202015%20V.6\Presupuesto%202015%20version%2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informaci&#243;n%20y%20soportes%20ley%20de%20transparencia%202020/5.%20PRESUPUESTO/Ejecuci&#243;n%20presupuestal%20historica%20anual/2019/Ingreso/Informe%20de%20ejecuci&#243;n%20de%20ingresos%20cuarto%20trimestre%20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directorppc\AppData\Local\Microsoft\Windows\Temporary%20Internet%20Files\Content.IE5\68SX2PI0\Desagregado%20&#193;rea%20201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8\Presupuesto%202018\Presupuesto%202018%20v.2\Anexos\Presupuestos%20Investigaci&#243;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7\Presupuesto%202017\Presupuesto%202017%203ra%20version\Anexos\Presupuesto%20PPC%20201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JorgeOrtiz\Desktop\PPC2013\PRESUPUESTO%202014\PRESUPUESTO%20DEFINITIVO%202014%20NOV\Desagregado%20PPC%202014%20%20definitiv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9\REVISION%20ACUERDOS\Anexos\Presupuestos%20Investig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8\Presupuesto%202018\Presupuesto%202018%20v.2\Anexos\presupuesto%20PPC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VARGAS/Desktop/ANEXO%20ACUERDO%201%20p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&#241;o%202019\Solicitud%20areas\III%20TRIMESTRE\INVESTIGACI&#211;N\Ejecuci&#243;n%20II%20trim%20Solicitud%20III%20trim2019%2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Acuerdos/Definitivo/ANEXO%20ACUERDO%2001-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 refreshError="1">
        <row r="16">
          <cell r="B16" t="str">
            <v>Control y monitoreo de PRRS</v>
          </cell>
        </row>
        <row r="18">
          <cell r="B18" t="str">
            <v>Programa Nacional de Sanidad Porcina</v>
          </cell>
        </row>
        <row r="19">
          <cell r="B19" t="str">
            <v>Divulgación sanitaria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Vencimientos (2)"/>
      <sheetName val="Nómina anu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16">
          <cell r="B16">
            <v>4603443301.519434</v>
          </cell>
        </row>
        <row r="33">
          <cell r="B33">
            <v>437650416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 refreshError="1"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 refreshError="1">
        <row r="23">
          <cell r="A23" t="str">
            <v>Gira técnica</v>
          </cell>
        </row>
        <row r="24">
          <cell r="A24" t="str">
            <v>Capacitación en desposte y transformación de la carne de cerdo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ones"/>
      <sheetName val="Contratación personal"/>
      <sheetName val="Diagnóstico rutinario"/>
      <sheetName val="Autoridades y puestos control"/>
      <sheetName val="Administración bases de datos"/>
    </sheetNames>
    <sheetDataSet>
      <sheetData sheetId="0" refreshError="1">
        <row r="37">
          <cell r="B37" t="str">
            <v>Diagnóstico Rutinario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Anexo 2 "/>
      <sheetName val="Funcionamiento"/>
      <sheetName val="Nómina y honorarios 2019"/>
    </sheetNames>
    <sheetDataSet>
      <sheetData sheetId="0">
        <row r="16">
          <cell r="B16">
            <v>4603443302</v>
          </cell>
        </row>
        <row r="33">
          <cell r="B33">
            <v>437650416</v>
          </cell>
        </row>
      </sheetData>
      <sheetData sheetId="1" refreshError="1"/>
      <sheetData sheetId="2"/>
      <sheetData sheetId="3">
        <row r="16">
          <cell r="I16">
            <v>2592326.3058000002</v>
          </cell>
          <cell r="J16">
            <v>2592326.3058000002</v>
          </cell>
          <cell r="L16">
            <v>2592326.3058000002</v>
          </cell>
          <cell r="M16">
            <v>2592326.3058000002</v>
          </cell>
        </row>
        <row r="20">
          <cell r="H20">
            <v>2512194</v>
          </cell>
          <cell r="M20">
            <v>0</v>
          </cell>
        </row>
        <row r="24">
          <cell r="J24">
            <v>0</v>
          </cell>
        </row>
        <row r="26">
          <cell r="J26">
            <v>1000000</v>
          </cell>
          <cell r="L26">
            <v>1923257</v>
          </cell>
        </row>
        <row r="28">
          <cell r="J28">
            <v>500000</v>
          </cell>
        </row>
        <row r="30">
          <cell r="J30">
            <v>0</v>
          </cell>
          <cell r="L30">
            <v>1419695</v>
          </cell>
        </row>
      </sheetData>
      <sheetData sheetId="4">
        <row r="28">
          <cell r="K28">
            <v>104980339.22999999</v>
          </cell>
          <cell r="S28">
            <v>19897402.902099364</v>
          </cell>
          <cell r="U28">
            <v>4038416.2170879999</v>
          </cell>
          <cell r="X28">
            <v>5048020.2713599997</v>
          </cell>
        </row>
        <row r="40">
          <cell r="K40">
            <v>97069724.75999999</v>
          </cell>
        </row>
        <row r="66">
          <cell r="K66">
            <v>81223958.174999997</v>
          </cell>
        </row>
        <row r="80">
          <cell r="K80">
            <v>262852621.47000003</v>
          </cell>
        </row>
        <row r="110">
          <cell r="K110">
            <v>242529.74900000001</v>
          </cell>
          <cell r="M110">
            <v>242529.74900000001</v>
          </cell>
          <cell r="S110">
            <v>970118.99600000004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oyectos"/>
    </sheetNames>
    <sheetDataSet>
      <sheetData sheetId="0" refreshError="1">
        <row r="9">
          <cell r="K9">
            <v>11700000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"/>
      <sheetName val="Otros ingresos"/>
      <sheetName val="Funcionamiento"/>
      <sheetName val="Nómina y honorarios 2019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7050-27E8-4C7E-BFA8-6755639668D8}">
  <sheetPr>
    <pageSetUpPr fitToPage="1"/>
  </sheetPr>
  <dimension ref="A1:S271"/>
  <sheetViews>
    <sheetView tabSelected="1" topLeftCell="A2" zoomScale="85" zoomScaleNormal="85" zoomScaleSheetLayoutView="85" workbookViewId="0">
      <pane xSplit="1" ySplit="5" topLeftCell="B85" activePane="bottomRight" state="frozen"/>
      <selection activeCell="A2" sqref="A2"/>
      <selection pane="topRight" activeCell="B2" sqref="B2"/>
      <selection pane="bottomLeft" activeCell="A7" sqref="A7"/>
      <selection pane="bottomRight" activeCell="E6" sqref="E6"/>
    </sheetView>
  </sheetViews>
  <sheetFormatPr baseColWidth="10" defaultRowHeight="12.75" outlineLevelRow="2" x14ac:dyDescent="0.2"/>
  <cols>
    <col min="1" max="1" width="57.7109375" style="1" customWidth="1"/>
    <col min="2" max="2" width="14.5703125" style="1" customWidth="1"/>
    <col min="3" max="3" width="14.7109375" style="1" customWidth="1"/>
    <col min="4" max="4" width="19.85546875" style="1" customWidth="1"/>
    <col min="5" max="5" width="14.42578125" style="1" customWidth="1"/>
    <col min="6" max="6" width="15.42578125" style="1" customWidth="1"/>
    <col min="7" max="7" width="17.5703125" style="1" customWidth="1"/>
    <col min="8" max="8" width="18.5703125" style="1" customWidth="1"/>
    <col min="9" max="10" width="18.140625" style="1" customWidth="1"/>
    <col min="11" max="11" width="22.85546875" style="1" bestFit="1" customWidth="1"/>
    <col min="12" max="13" width="19.7109375" style="1" customWidth="1"/>
    <col min="14" max="14" width="9.42578125" style="1" customWidth="1"/>
    <col min="15" max="17" width="14.5703125" style="1" customWidth="1"/>
    <col min="18" max="16384" width="11.42578125" style="1"/>
  </cols>
  <sheetData>
    <row r="1" spans="1:16" ht="15" x14ac:dyDescent="0.25">
      <c r="A1" s="70" t="s">
        <v>183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" ht="15" x14ac:dyDescent="0.25">
      <c r="A2" s="70" t="s">
        <v>182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ht="15" x14ac:dyDescent="0.25">
      <c r="A3" s="70" t="s">
        <v>181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6" ht="15" x14ac:dyDescent="0.25">
      <c r="A4" s="70" t="s">
        <v>180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6" ht="15.75" thickBot="1" x14ac:dyDescent="0.3">
      <c r="A5" s="69"/>
      <c r="B5" s="68"/>
      <c r="C5" s="67"/>
      <c r="D5" s="67"/>
      <c r="E5" s="65"/>
      <c r="F5" s="65"/>
      <c r="G5" s="65"/>
      <c r="H5" s="66"/>
      <c r="I5" s="65"/>
      <c r="J5" s="64"/>
    </row>
    <row r="6" spans="1:16" ht="73.5" customHeight="1" thickTop="1" x14ac:dyDescent="0.2">
      <c r="A6" s="63" t="s">
        <v>179</v>
      </c>
      <c r="B6" s="62" t="s">
        <v>178</v>
      </c>
      <c r="C6" s="62" t="s">
        <v>177</v>
      </c>
      <c r="D6" s="62" t="s">
        <v>176</v>
      </c>
      <c r="E6" s="62" t="s">
        <v>175</v>
      </c>
      <c r="F6" s="62" t="s">
        <v>174</v>
      </c>
      <c r="G6" s="62" t="s">
        <v>173</v>
      </c>
      <c r="H6" s="62" t="s">
        <v>172</v>
      </c>
      <c r="I6" s="62" t="s">
        <v>171</v>
      </c>
      <c r="J6" s="62" t="s">
        <v>170</v>
      </c>
      <c r="K6" s="62" t="s">
        <v>169</v>
      </c>
      <c r="L6" s="62" t="s">
        <v>168</v>
      </c>
      <c r="M6" s="62" t="s">
        <v>167</v>
      </c>
      <c r="N6" s="61" t="s">
        <v>166</v>
      </c>
    </row>
    <row r="7" spans="1:16" ht="15" x14ac:dyDescent="0.25">
      <c r="A7" s="55" t="s">
        <v>165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9"/>
    </row>
    <row r="8" spans="1:16" ht="15" x14ac:dyDescent="0.25">
      <c r="A8" s="58" t="s">
        <v>164</v>
      </c>
      <c r="B8" s="23">
        <f>SUM(B9:B18)</f>
        <v>176581444.47173843</v>
      </c>
      <c r="C8" s="23">
        <f>SUM(C9:C18)</f>
        <v>213754935.64697924</v>
      </c>
      <c r="D8" s="23">
        <f>SUM(D9:D18)</f>
        <v>135282822.57689741</v>
      </c>
      <c r="E8" s="23">
        <f>SUM(E9:E18)</f>
        <v>19327939.18401866</v>
      </c>
      <c r="F8" s="23">
        <f>SUM(F9:F18)</f>
        <v>148638174.58014455</v>
      </c>
      <c r="G8" s="23">
        <f>SUM(G9:G18)</f>
        <v>419434226.89533484</v>
      </c>
      <c r="H8" s="23">
        <f>SUM(H9:H18)</f>
        <v>1113019543.355113</v>
      </c>
      <c r="I8" s="23">
        <f>SUM(I9:I18)</f>
        <v>298306594.89568776</v>
      </c>
      <c r="J8" s="23">
        <f>SUM(J9:J18)</f>
        <v>0</v>
      </c>
      <c r="K8" s="23">
        <f>SUM(K9:K18)</f>
        <v>1411326138.2508011</v>
      </c>
      <c r="L8" s="23">
        <f>SUM(L9:L18)</f>
        <v>1207306721</v>
      </c>
      <c r="M8" s="23">
        <f>+L8-K8</f>
        <v>-204019417.25080109</v>
      </c>
      <c r="N8" s="22">
        <f>+L8/K8</f>
        <v>0.85544133866629657</v>
      </c>
    </row>
    <row r="9" spans="1:16" ht="14.25" x14ac:dyDescent="0.2">
      <c r="A9" s="54" t="s">
        <v>163</v>
      </c>
      <c r="B9" s="26">
        <f>+'[5]Nómina y honorarios 2019'!K28+2615394</f>
        <v>107595733.22999999</v>
      </c>
      <c r="C9" s="26">
        <v>130337212.38499998</v>
      </c>
      <c r="D9" s="26">
        <f>+'[5]Nómina y honorarios 2019'!K66+2021902</f>
        <v>83245860.174999997</v>
      </c>
      <c r="E9" s="26">
        <v>12099359.435466669</v>
      </c>
      <c r="F9" s="26">
        <f>+'[5]Nómina y honorarios 2019'!K40+2417768</f>
        <v>99487492.75999999</v>
      </c>
      <c r="G9" s="26">
        <f>+'[5]Nómina y honorarios 2019'!K80+6537615</f>
        <v>269390236.47000003</v>
      </c>
      <c r="H9" s="35">
        <f>+B9+C9+D9+G9+E9+F9</f>
        <v>702155894.45546663</v>
      </c>
      <c r="I9" s="26">
        <v>165945707.33000001</v>
      </c>
      <c r="J9" s="26"/>
      <c r="K9" s="26">
        <f>+H9+I9+J9</f>
        <v>868101601.78546667</v>
      </c>
      <c r="L9" s="26">
        <v>764234882</v>
      </c>
      <c r="M9" s="26">
        <f>+L9-K9</f>
        <v>-103866719.78546667</v>
      </c>
      <c r="N9" s="29">
        <f>+L9/K9</f>
        <v>0.88035188557210475</v>
      </c>
      <c r="P9" s="57"/>
    </row>
    <row r="10" spans="1:16" ht="14.25" x14ac:dyDescent="0.2">
      <c r="A10" s="54" t="s">
        <v>162</v>
      </c>
      <c r="B10" s="26">
        <v>9435975.7663838938</v>
      </c>
      <c r="C10" s="26">
        <v>10102053.777644169</v>
      </c>
      <c r="D10" s="26">
        <v>4733521</v>
      </c>
      <c r="E10" s="26">
        <v>948549.58000222244</v>
      </c>
      <c r="F10" s="26">
        <v>7522706.2339844499</v>
      </c>
      <c r="G10" s="26">
        <v>20401564.008671664</v>
      </c>
      <c r="H10" s="35">
        <f>+B10+C10+D10+G10+E10+F10</f>
        <v>53144370.366686404</v>
      </c>
      <c r="I10" s="26">
        <v>11922359.063626114</v>
      </c>
      <c r="J10" s="26"/>
      <c r="K10" s="26">
        <f>+H10+I10+J10</f>
        <v>65066729.430312514</v>
      </c>
      <c r="L10" s="26">
        <v>36710073</v>
      </c>
      <c r="M10" s="26">
        <f>+L10-K10</f>
        <v>-28356656.430312514</v>
      </c>
      <c r="N10" s="29">
        <f>+L10/K10</f>
        <v>0.56419115147499554</v>
      </c>
    </row>
    <row r="11" spans="1:16" ht="14.25" x14ac:dyDescent="0.2">
      <c r="A11" s="54" t="s">
        <v>161</v>
      </c>
      <c r="B11" s="26">
        <v>5959783.4477077797</v>
      </c>
      <c r="C11" s="26">
        <v>8227207.5273483358</v>
      </c>
      <c r="D11" s="26">
        <v>4331324</v>
      </c>
      <c r="E11" s="26">
        <v>1029815.5164844445</v>
      </c>
      <c r="F11" s="26">
        <v>5777780.0970288888</v>
      </c>
      <c r="G11" s="26">
        <v>19533526.781843312</v>
      </c>
      <c r="H11" s="35">
        <f>+B11+C11+D11+G11+E11+F11</f>
        <v>44859437.370412767</v>
      </c>
      <c r="I11" s="26">
        <v>13264998.521252215</v>
      </c>
      <c r="J11" s="26"/>
      <c r="K11" s="26">
        <f>+H11+I11+J11</f>
        <v>58124435.891664982</v>
      </c>
      <c r="L11" s="26">
        <v>50856789</v>
      </c>
      <c r="M11" s="26">
        <f>+L11-K11</f>
        <v>-7267646.8916649818</v>
      </c>
      <c r="N11" s="29">
        <f>+L11/K11</f>
        <v>0.874964001281479</v>
      </c>
    </row>
    <row r="12" spans="1:16" ht="14.25" x14ac:dyDescent="0.2">
      <c r="A12" s="54" t="s">
        <v>160</v>
      </c>
      <c r="B12" s="56">
        <v>16955099.266666666</v>
      </c>
      <c r="C12" s="56">
        <v>14472933</v>
      </c>
      <c r="D12" s="56">
        <f>+[6]General!$K$9</f>
        <v>11700000</v>
      </c>
      <c r="E12" s="26">
        <v>0</v>
      </c>
      <c r="F12" s="35">
        <v>0</v>
      </c>
      <c r="G12" s="35">
        <v>0</v>
      </c>
      <c r="H12" s="35">
        <f>+B12+C12+D12+G12+E12+F12</f>
        <v>43128032.266666666</v>
      </c>
      <c r="I12" s="26">
        <v>38390096.294866666</v>
      </c>
      <c r="J12" s="26"/>
      <c r="K12" s="26">
        <f>+H12+I12+J12</f>
        <v>81518128.561533332</v>
      </c>
      <c r="L12" s="26">
        <v>75499372</v>
      </c>
      <c r="M12" s="26">
        <f>+L12-K12</f>
        <v>-6018756.5615333319</v>
      </c>
      <c r="N12" s="29">
        <f>+L12/K12</f>
        <v>0.9261666494589591</v>
      </c>
    </row>
    <row r="13" spans="1:16" ht="14.25" x14ac:dyDescent="0.2">
      <c r="A13" s="54" t="s">
        <v>159</v>
      </c>
      <c r="B13" s="26">
        <f>+'[5]Nómina y honorarios 2019'!K110</f>
        <v>242529.74900000001</v>
      </c>
      <c r="C13" s="26">
        <v>242529.74900000001</v>
      </c>
      <c r="D13" s="26">
        <v>242529.49799999996</v>
      </c>
      <c r="E13" s="26">
        <v>242530</v>
      </c>
      <c r="F13" s="26">
        <f>+'[5]Nómina y honorarios 2019'!M110</f>
        <v>242529.74900000001</v>
      </c>
      <c r="G13" s="26">
        <f>+'[5]Nómina y honorarios 2019'!S110</f>
        <v>970118.99600000004</v>
      </c>
      <c r="H13" s="35">
        <f>+B13+C13+D13+G13+E13+F13</f>
        <v>2182767.7409999999</v>
      </c>
      <c r="I13" s="26">
        <v>727589.24699999997</v>
      </c>
      <c r="J13" s="26"/>
      <c r="K13" s="26">
        <f>+H13+I13+J13</f>
        <v>2910356.9879999999</v>
      </c>
      <c r="L13" s="26">
        <v>1940240</v>
      </c>
      <c r="M13" s="26">
        <f>+L13-K13</f>
        <v>-970116.9879999999</v>
      </c>
      <c r="N13" s="29">
        <f>+L13/K13</f>
        <v>0.66666735661639043</v>
      </c>
    </row>
    <row r="14" spans="1:16" ht="14.25" x14ac:dyDescent="0.2">
      <c r="A14" s="54" t="s">
        <v>158</v>
      </c>
      <c r="B14" s="26">
        <v>5959783.4477077797</v>
      </c>
      <c r="C14" s="26">
        <v>8227207.5273483358</v>
      </c>
      <c r="D14" s="26">
        <v>4331324</v>
      </c>
      <c r="E14" s="26">
        <v>1029815.5164844445</v>
      </c>
      <c r="F14" s="26">
        <v>5777780.0970288888</v>
      </c>
      <c r="G14" s="26">
        <v>19533526.781843312</v>
      </c>
      <c r="H14" s="35">
        <f>+B14+C14+D14+G14+E14+F14</f>
        <v>44859437.370412767</v>
      </c>
      <c r="I14" s="26">
        <v>13264998.521252215</v>
      </c>
      <c r="J14" s="26"/>
      <c r="K14" s="26">
        <f>+H14+I14+J14</f>
        <v>58124435.891664982</v>
      </c>
      <c r="L14" s="26">
        <v>50856789</v>
      </c>
      <c r="M14" s="26">
        <f>+L14-K14</f>
        <v>-7267646.8916649818</v>
      </c>
      <c r="N14" s="29">
        <f>+L14/K14</f>
        <v>0.874964001281479</v>
      </c>
      <c r="O14" s="37"/>
      <c r="P14" s="37"/>
    </row>
    <row r="15" spans="1:16" ht="14.25" x14ac:dyDescent="0.2">
      <c r="A15" s="54" t="s">
        <v>157</v>
      </c>
      <c r="B15" s="26">
        <v>715184.17372493306</v>
      </c>
      <c r="C15" s="26">
        <v>1113680.6632817998</v>
      </c>
      <c r="D15" s="26">
        <v>519765</v>
      </c>
      <c r="E15" s="26">
        <v>123582.42197813332</v>
      </c>
      <c r="F15" s="26">
        <v>693339.05164346704</v>
      </c>
      <c r="G15" s="26">
        <v>2414342.0538212024</v>
      </c>
      <c r="H15" s="35">
        <f>+B15+C15+D15+G15+E15+F15</f>
        <v>5579893.3644495364</v>
      </c>
      <c r="I15" s="26">
        <v>1632222.0625502663</v>
      </c>
      <c r="J15" s="26"/>
      <c r="K15" s="26">
        <f>+H15+I15+J15</f>
        <v>7212115.4269998027</v>
      </c>
      <c r="L15" s="26">
        <v>4215445</v>
      </c>
      <c r="M15" s="26">
        <f>+L15-K15</f>
        <v>-2996670.4269998027</v>
      </c>
      <c r="N15" s="29">
        <f>+L15/K15</f>
        <v>0.58449494363592014</v>
      </c>
      <c r="O15" s="37"/>
      <c r="P15" s="37"/>
    </row>
    <row r="16" spans="1:16" ht="14.25" x14ac:dyDescent="0.2">
      <c r="A16" s="54" t="s">
        <v>156</v>
      </c>
      <c r="B16" s="26">
        <f>+'[5]Nómina y honorarios 2019'!S28+503964</f>
        <v>20401366.902099364</v>
      </c>
      <c r="C16" s="26">
        <v>27028553.196238011</v>
      </c>
      <c r="D16" s="26">
        <v>17465963.057797074</v>
      </c>
      <c r="E16" s="26">
        <v>2555938.3922126647</v>
      </c>
      <c r="F16" s="26">
        <v>19548060.442068279</v>
      </c>
      <c r="G16" s="26">
        <v>58770408.221658468</v>
      </c>
      <c r="H16" s="35">
        <f>+B16+C16+D16+G16+E16+F16</f>
        <v>145770290.21207386</v>
      </c>
      <c r="I16" s="26">
        <v>35914292.64345777</v>
      </c>
      <c r="J16" s="26"/>
      <c r="K16" s="26">
        <f>+H16+I16+J16</f>
        <v>181684582.85553163</v>
      </c>
      <c r="L16" s="26">
        <v>154152531</v>
      </c>
      <c r="M16" s="26">
        <f>+L16-K16</f>
        <v>-27532051.855531633</v>
      </c>
      <c r="N16" s="29">
        <f>+L16/K16</f>
        <v>0.84846236580555634</v>
      </c>
    </row>
    <row r="17" spans="1:15" ht="14.25" x14ac:dyDescent="0.2">
      <c r="A17" s="54" t="s">
        <v>155</v>
      </c>
      <c r="B17" s="26">
        <f>+'[5]Nómina y honorarios 2019'!U28+102023</f>
        <v>4140439.2170879999</v>
      </c>
      <c r="C17" s="26">
        <v>6224170.2538304813</v>
      </c>
      <c r="D17" s="26">
        <v>3872816.3760446049</v>
      </c>
      <c r="E17" s="26">
        <v>577431.80950670224</v>
      </c>
      <c r="F17" s="26">
        <v>4262094.177506933</v>
      </c>
      <c r="G17" s="26">
        <v>12634368.147331931</v>
      </c>
      <c r="H17" s="35">
        <f>+B17+C17+D17+G17+E17+F17</f>
        <v>31711319.981308654</v>
      </c>
      <c r="I17" s="26">
        <v>7666347.0940811299</v>
      </c>
      <c r="J17" s="26"/>
      <c r="K17" s="26">
        <f>+H17+I17+J17</f>
        <v>39377667.075389788</v>
      </c>
      <c r="L17" s="26">
        <v>30591600</v>
      </c>
      <c r="M17" s="26">
        <f>+L17-K17</f>
        <v>-8786067.0753897876</v>
      </c>
      <c r="N17" s="29">
        <f>+L17/K17</f>
        <v>0.77687690185991509</v>
      </c>
    </row>
    <row r="18" spans="1:15" ht="14.25" x14ac:dyDescent="0.2">
      <c r="A18" s="54" t="s">
        <v>154</v>
      </c>
      <c r="B18" s="26">
        <f>+'[5]Nómina y honorarios 2019'!X28+127529</f>
        <v>5175549.2713599997</v>
      </c>
      <c r="C18" s="26">
        <v>7779387.5672881082</v>
      </c>
      <c r="D18" s="26">
        <v>4839719.4700557515</v>
      </c>
      <c r="E18" s="26">
        <v>720916.51188337826</v>
      </c>
      <c r="F18" s="26">
        <v>5326391.971883662</v>
      </c>
      <c r="G18" s="26">
        <v>15786135.434164912</v>
      </c>
      <c r="H18" s="35">
        <f>+B18+C18+D18+G18+E18+F18</f>
        <v>39628100.226635806</v>
      </c>
      <c r="I18" s="26">
        <v>9577984.1176014207</v>
      </c>
      <c r="J18" s="26"/>
      <c r="K18" s="26">
        <f>+H18+I18+J18</f>
        <v>49206084.344237223</v>
      </c>
      <c r="L18" s="26">
        <v>38249000</v>
      </c>
      <c r="M18" s="26">
        <f>+L18-K18</f>
        <v>-10957084.344237223</v>
      </c>
      <c r="N18" s="29">
        <f>+L18/K18</f>
        <v>0.77732257117669912</v>
      </c>
    </row>
    <row r="19" spans="1:15" ht="15" x14ac:dyDescent="0.25">
      <c r="A19" s="25" t="s">
        <v>153</v>
      </c>
      <c r="B19" s="24">
        <f>SUM(B9:B18)</f>
        <v>176581444.47173843</v>
      </c>
      <c r="C19" s="24">
        <f>SUM(C9:C18)</f>
        <v>213754935.64697924</v>
      </c>
      <c r="D19" s="24">
        <f>SUM(D9:D18)</f>
        <v>135282822.57689741</v>
      </c>
      <c r="E19" s="24">
        <f>SUM(E9:E18)</f>
        <v>19327939.18401866</v>
      </c>
      <c r="F19" s="24">
        <f>SUM(F9:F18)</f>
        <v>148638174.58014455</v>
      </c>
      <c r="G19" s="24">
        <f>SUM(G9:G18)</f>
        <v>419434226.89533484</v>
      </c>
      <c r="H19" s="24">
        <f>+B19+C19+D19+G19+E19+F19</f>
        <v>1113019543.355113</v>
      </c>
      <c r="I19" s="24">
        <f>SUM(I9:I18)</f>
        <v>298306594.89568776</v>
      </c>
      <c r="J19" s="24">
        <f>SUM(J9:J18)</f>
        <v>0</v>
      </c>
      <c r="K19" s="24">
        <f>SUM(K9:K18)</f>
        <v>1411326138.2508011</v>
      </c>
      <c r="L19" s="24">
        <f>SUM(L9:L18)</f>
        <v>1207306721</v>
      </c>
      <c r="M19" s="23">
        <f>+L19-K19</f>
        <v>-204019417.25080109</v>
      </c>
      <c r="N19" s="22">
        <f>+L19/K19</f>
        <v>0.85544133866629657</v>
      </c>
      <c r="O19" s="37"/>
    </row>
    <row r="20" spans="1:15" ht="15" x14ac:dyDescent="0.25">
      <c r="A20" s="55" t="s">
        <v>152</v>
      </c>
      <c r="B20" s="26"/>
      <c r="C20" s="26"/>
      <c r="D20" s="26"/>
      <c r="E20" s="26"/>
      <c r="F20" s="26"/>
      <c r="G20" s="26"/>
      <c r="H20" s="26"/>
      <c r="I20" s="24"/>
      <c r="J20" s="24"/>
      <c r="K20" s="26"/>
      <c r="L20" s="26"/>
      <c r="M20" s="26"/>
      <c r="N20" s="22"/>
    </row>
    <row r="21" spans="1:15" ht="14.25" x14ac:dyDescent="0.2">
      <c r="A21" s="30" t="s">
        <v>151</v>
      </c>
      <c r="B21" s="53">
        <v>0</v>
      </c>
      <c r="C21" s="53">
        <f>+[5]Funcionamiento!K10</f>
        <v>0</v>
      </c>
      <c r="D21" s="53">
        <v>0</v>
      </c>
      <c r="E21" s="53">
        <v>0</v>
      </c>
      <c r="F21" s="53">
        <v>0</v>
      </c>
      <c r="G21" s="53">
        <v>3000000</v>
      </c>
      <c r="H21" s="53">
        <f>+B21+C21+D21+G21+E21+F21</f>
        <v>3000000</v>
      </c>
      <c r="I21" s="26">
        <v>86570688.115799993</v>
      </c>
      <c r="J21" s="26"/>
      <c r="K21" s="26">
        <f>+H21+I21+J21</f>
        <v>89570688.115799993</v>
      </c>
      <c r="L21" s="26">
        <v>79699833</v>
      </c>
      <c r="M21" s="26">
        <f>+L21-K21</f>
        <v>-9870855.1157999933</v>
      </c>
      <c r="N21" s="29">
        <f>+L21/K21</f>
        <v>0.88979815469276491</v>
      </c>
    </row>
    <row r="22" spans="1:15" ht="14.25" x14ac:dyDescent="0.2">
      <c r="A22" s="30" t="s">
        <v>150</v>
      </c>
      <c r="B22" s="26">
        <f>+[5]Funcionamiento!J24</f>
        <v>0</v>
      </c>
      <c r="C22" s="53">
        <v>2177338</v>
      </c>
      <c r="D22" s="53">
        <v>0</v>
      </c>
      <c r="E22" s="26">
        <f>+[5]Funcionamiento!I24</f>
        <v>0</v>
      </c>
      <c r="F22" s="53">
        <f>+[5]Funcionamiento!M24</f>
        <v>0</v>
      </c>
      <c r="G22" s="26">
        <v>1236690</v>
      </c>
      <c r="H22" s="53">
        <f>+B22+C22+D22+G22+E22+F22</f>
        <v>3414028</v>
      </c>
      <c r="I22" s="26">
        <v>26434069.261700001</v>
      </c>
      <c r="J22" s="26"/>
      <c r="K22" s="26">
        <f>+H22+I22+J22</f>
        <v>29848097.261700001</v>
      </c>
      <c r="L22" s="26">
        <v>14076696</v>
      </c>
      <c r="M22" s="26">
        <f>+L22-K22</f>
        <v>-15771401.261700001</v>
      </c>
      <c r="N22" s="29">
        <f>+L22/K22</f>
        <v>0.47161116759233784</v>
      </c>
    </row>
    <row r="23" spans="1:15" ht="14.25" x14ac:dyDescent="0.2">
      <c r="A23" s="30" t="s">
        <v>149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6000000</v>
      </c>
      <c r="H23" s="53">
        <f>+B23+C23+D23+G23+E23+F23</f>
        <v>6000000</v>
      </c>
      <c r="I23" s="26">
        <v>6310087.7024000026</v>
      </c>
      <c r="J23" s="26"/>
      <c r="K23" s="26">
        <f>+H23+I23+J23</f>
        <v>12310087.702400003</v>
      </c>
      <c r="L23" s="26">
        <v>11319270</v>
      </c>
      <c r="M23" s="26">
        <f>+L23-K23</f>
        <v>-990817.70240000263</v>
      </c>
      <c r="N23" s="29">
        <f>+L23/K23</f>
        <v>0.91951172677617632</v>
      </c>
    </row>
    <row r="24" spans="1:15" ht="14.25" x14ac:dyDescent="0.2">
      <c r="A24" s="30" t="s">
        <v>148</v>
      </c>
      <c r="B24" s="26">
        <f>+[5]Funcionamiento!J26</f>
        <v>1000000</v>
      </c>
      <c r="C24" s="53">
        <v>3786160</v>
      </c>
      <c r="D24" s="53">
        <f>+[5]Funcionamiento!L26</f>
        <v>1923257</v>
      </c>
      <c r="E24" s="53">
        <v>1044000</v>
      </c>
      <c r="F24" s="53">
        <v>4129953</v>
      </c>
      <c r="G24" s="53">
        <v>10820049</v>
      </c>
      <c r="H24" s="53">
        <f>+B24+C24+D24+G24+E24+F24</f>
        <v>22703419</v>
      </c>
      <c r="I24" s="26">
        <v>11443216</v>
      </c>
      <c r="J24" s="26"/>
      <c r="K24" s="26">
        <f>+H24+I24+J24</f>
        <v>34146635</v>
      </c>
      <c r="L24" s="26">
        <v>29415745</v>
      </c>
      <c r="M24" s="26">
        <f>+L24-K24</f>
        <v>-4730890</v>
      </c>
      <c r="N24" s="29">
        <f>+L24/K24</f>
        <v>0.86145369814624484</v>
      </c>
    </row>
    <row r="25" spans="1:15" ht="14.25" x14ac:dyDescent="0.2">
      <c r="A25" s="30" t="s">
        <v>147</v>
      </c>
      <c r="B25" s="53">
        <f>+[5]Funcionamiento!J28</f>
        <v>500000</v>
      </c>
      <c r="C25" s="53">
        <v>1111897</v>
      </c>
      <c r="D25" s="53">
        <v>1842133</v>
      </c>
      <c r="E25" s="53">
        <v>0</v>
      </c>
      <c r="F25" s="53">
        <v>968437</v>
      </c>
      <c r="G25" s="53">
        <v>400000</v>
      </c>
      <c r="H25" s="53">
        <f>+B25+C25+D25+G25+E25+F25</f>
        <v>4822467</v>
      </c>
      <c r="I25" s="26">
        <v>2493483.4436999997</v>
      </c>
      <c r="J25" s="26"/>
      <c r="K25" s="26">
        <f>+H25+I25+J25</f>
        <v>7315950.4436999997</v>
      </c>
      <c r="L25" s="26">
        <v>2063300</v>
      </c>
      <c r="M25" s="26">
        <f>+L25-K25</f>
        <v>-5252650.4436999997</v>
      </c>
      <c r="N25" s="29">
        <f>+L25/K25</f>
        <v>0.2820276074692078</v>
      </c>
    </row>
    <row r="26" spans="1:15" ht="14.25" x14ac:dyDescent="0.2">
      <c r="A26" s="54" t="s">
        <v>146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f>+B26+C26+D26+G26+E26+F26</f>
        <v>0</v>
      </c>
      <c r="I26" s="26">
        <v>23948960.5</v>
      </c>
      <c r="J26" s="26"/>
      <c r="K26" s="26">
        <f>+H26+I26+J26</f>
        <v>23948960.5</v>
      </c>
      <c r="L26" s="26">
        <v>7839125</v>
      </c>
      <c r="M26" s="26">
        <f>+L26-K26</f>
        <v>-16109835.5</v>
      </c>
      <c r="N26" s="29">
        <f>+L26/K26</f>
        <v>0.32732631547828556</v>
      </c>
    </row>
    <row r="27" spans="1:15" ht="14.25" x14ac:dyDescent="0.2">
      <c r="A27" s="30" t="s">
        <v>145</v>
      </c>
      <c r="B27" s="53">
        <f>+[5]Funcionamiento!J16</f>
        <v>2592326.3058000002</v>
      </c>
      <c r="C27" s="53">
        <v>2592326.3058000002</v>
      </c>
      <c r="D27" s="53">
        <f>+[5]Funcionamiento!L16</f>
        <v>2592326.3058000002</v>
      </c>
      <c r="E27" s="53">
        <f>+[5]Funcionamiento!I16</f>
        <v>2592326.3058000002</v>
      </c>
      <c r="F27" s="53">
        <f>+[5]Funcionamiento!M16</f>
        <v>2592326.3058000002</v>
      </c>
      <c r="G27" s="53">
        <v>2592326.3058000002</v>
      </c>
      <c r="H27" s="53">
        <f>+B27+C27+D27+G27+E27+F27</f>
        <v>15553957.834800001</v>
      </c>
      <c r="I27" s="26">
        <v>12297424.005000001</v>
      </c>
      <c r="J27" s="26"/>
      <c r="K27" s="26">
        <f>+H27+I27+J27</f>
        <v>27851381.8398</v>
      </c>
      <c r="L27" s="26">
        <v>22145771</v>
      </c>
      <c r="M27" s="26">
        <f>+L27-K27</f>
        <v>-5705610.8398000002</v>
      </c>
      <c r="N27" s="29">
        <f>+L27/K27</f>
        <v>0.79514083456905515</v>
      </c>
    </row>
    <row r="28" spans="1:15" ht="14.25" x14ac:dyDescent="0.2">
      <c r="A28" s="30" t="s">
        <v>144</v>
      </c>
      <c r="B28" s="53">
        <f>+[5]Funcionamiento!J30</f>
        <v>0</v>
      </c>
      <c r="C28" s="53">
        <v>1911444</v>
      </c>
      <c r="D28" s="53">
        <f>+[5]Funcionamiento!L30</f>
        <v>1419695</v>
      </c>
      <c r="E28" s="53">
        <f>+[5]Funcionamiento!I30</f>
        <v>0</v>
      </c>
      <c r="F28" s="53">
        <v>0</v>
      </c>
      <c r="G28" s="53">
        <v>19000000</v>
      </c>
      <c r="H28" s="53">
        <f>+B28+C28+D28+G28+E28+F28</f>
        <v>22331139</v>
      </c>
      <c r="I28" s="26">
        <v>1978879.4817000013</v>
      </c>
      <c r="J28" s="26"/>
      <c r="K28" s="26">
        <f>+H28+I28+J28</f>
        <v>24310018.481700003</v>
      </c>
      <c r="L28" s="26">
        <v>17090737</v>
      </c>
      <c r="M28" s="26">
        <f>+L28-K28</f>
        <v>-7219281.4817000031</v>
      </c>
      <c r="N28" s="29">
        <f>+L28/K28</f>
        <v>0.70303266173431733</v>
      </c>
    </row>
    <row r="29" spans="1:15" ht="14.25" x14ac:dyDescent="0.2">
      <c r="A29" s="30" t="s">
        <v>143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20661891</v>
      </c>
      <c r="H29" s="53">
        <f>+B29+C29+D29+G29+E29+F29</f>
        <v>20661891</v>
      </c>
      <c r="I29" s="26">
        <v>52273032.649099998</v>
      </c>
      <c r="J29" s="26"/>
      <c r="K29" s="26">
        <f>+H29+I29+J29</f>
        <v>72934923.649100006</v>
      </c>
      <c r="L29" s="26">
        <v>47518708</v>
      </c>
      <c r="M29" s="26">
        <f>+L29-K29</f>
        <v>-25416215.649100006</v>
      </c>
      <c r="N29" s="29">
        <f>+L29/K29</f>
        <v>0.6515220092451055</v>
      </c>
    </row>
    <row r="30" spans="1:15" ht="14.25" x14ac:dyDescent="0.2">
      <c r="A30" s="30" t="s">
        <v>142</v>
      </c>
      <c r="B30" s="26">
        <v>3567370</v>
      </c>
      <c r="C30" s="26">
        <v>1793657</v>
      </c>
      <c r="D30" s="26">
        <v>3185162</v>
      </c>
      <c r="E30" s="26">
        <v>0</v>
      </c>
      <c r="F30" s="53">
        <v>5434718.2610745467</v>
      </c>
      <c r="G30" s="26">
        <v>90000000</v>
      </c>
      <c r="H30" s="53">
        <f>+B30+C30+D30+G30+E30+F30</f>
        <v>103980907.26107454</v>
      </c>
      <c r="I30" s="26">
        <v>9053919</v>
      </c>
      <c r="J30" s="26"/>
      <c r="K30" s="26">
        <f>+H30+I30+J30</f>
        <v>113034826.26107454</v>
      </c>
      <c r="L30" s="26">
        <v>72614344</v>
      </c>
      <c r="M30" s="26">
        <f>+L30-K30</f>
        <v>-40420482.261074543</v>
      </c>
      <c r="N30" s="29">
        <f>+L30/K30</f>
        <v>0.64240682630222234</v>
      </c>
    </row>
    <row r="31" spans="1:15" ht="14.25" x14ac:dyDescent="0.2">
      <c r="A31" s="30" t="s">
        <v>141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f>+B31+C31+D31+G31+E31+F31</f>
        <v>0</v>
      </c>
      <c r="I31" s="26">
        <v>3785352</v>
      </c>
      <c r="J31" s="26"/>
      <c r="K31" s="26">
        <f>+H31+I31+J31</f>
        <v>3785352</v>
      </c>
      <c r="L31" s="26">
        <v>3231062</v>
      </c>
      <c r="M31" s="26">
        <f>+L31-K31</f>
        <v>-554290</v>
      </c>
      <c r="N31" s="29">
        <f>+L31/K31</f>
        <v>0.85356976048726774</v>
      </c>
    </row>
    <row r="32" spans="1:15" ht="14.25" x14ac:dyDescent="0.2">
      <c r="A32" s="30" t="s">
        <v>140</v>
      </c>
      <c r="B32" s="26">
        <v>3764548</v>
      </c>
      <c r="C32" s="26">
        <v>1820736</v>
      </c>
      <c r="D32" s="26">
        <v>863875.25</v>
      </c>
      <c r="E32" s="26">
        <v>214162.5</v>
      </c>
      <c r="F32" s="26">
        <v>1343676</v>
      </c>
      <c r="G32" s="26">
        <v>10322661.2304</v>
      </c>
      <c r="H32" s="53">
        <f>+B32+C32+D32+G32+E32+F32</f>
        <v>18329658.9804</v>
      </c>
      <c r="I32" s="26">
        <v>10756330</v>
      </c>
      <c r="J32" s="26"/>
      <c r="K32" s="26">
        <f>+H32+I32+J32</f>
        <v>29085988.9804</v>
      </c>
      <c r="L32" s="26">
        <v>28755952</v>
      </c>
      <c r="M32" s="26">
        <f>+L32-K32</f>
        <v>-330036.98039999977</v>
      </c>
      <c r="N32" s="29">
        <f>+L32/K32</f>
        <v>0.98865305970436834</v>
      </c>
    </row>
    <row r="33" spans="1:14" ht="14.25" x14ac:dyDescent="0.2">
      <c r="A33" s="30" t="s">
        <v>139</v>
      </c>
      <c r="B33" s="53">
        <f>+[5]Funcionamiento!J20</f>
        <v>0</v>
      </c>
      <c r="C33" s="53">
        <v>0</v>
      </c>
      <c r="D33" s="53">
        <v>0</v>
      </c>
      <c r="E33" s="53">
        <v>0</v>
      </c>
      <c r="F33" s="53">
        <f>+[5]Funcionamiento!M20</f>
        <v>0</v>
      </c>
      <c r="G33" s="53">
        <f>+[5]Funcionamiento!H20</f>
        <v>2512194</v>
      </c>
      <c r="H33" s="53">
        <f>+B33+C33+D33+G33+E33+F33</f>
        <v>2512194</v>
      </c>
      <c r="I33" s="26">
        <v>28920337</v>
      </c>
      <c r="J33" s="26"/>
      <c r="K33" s="26">
        <f>+H33+I33+J33</f>
        <v>31432531</v>
      </c>
      <c r="L33" s="26">
        <v>19594940</v>
      </c>
      <c r="M33" s="26">
        <f>+L33-K33</f>
        <v>-11837591</v>
      </c>
      <c r="N33" s="29">
        <f>+L33/K33</f>
        <v>0.62339682413738806</v>
      </c>
    </row>
    <row r="34" spans="1:14" ht="14.25" x14ac:dyDescent="0.2">
      <c r="A34" s="30" t="s">
        <v>138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f>+B34+C34+D34+G34+E34+F34</f>
        <v>0</v>
      </c>
      <c r="I34" s="26">
        <v>74527979.532200009</v>
      </c>
      <c r="J34" s="26"/>
      <c r="K34" s="26">
        <f>+H34+I34+J34</f>
        <v>74527979.532200009</v>
      </c>
      <c r="L34" s="26">
        <v>60395900</v>
      </c>
      <c r="M34" s="26">
        <f>+L34-K34</f>
        <v>-14132079.532200009</v>
      </c>
      <c r="N34" s="29">
        <f>+L34/K34</f>
        <v>0.8103788721912929</v>
      </c>
    </row>
    <row r="35" spans="1:14" ht="14.25" x14ac:dyDescent="0.2">
      <c r="A35" s="30" t="s">
        <v>137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f>+B35+C35+D35+G35+E35+F35</f>
        <v>0</v>
      </c>
      <c r="I35" s="26">
        <v>6362537.1771500008</v>
      </c>
      <c r="J35" s="26"/>
      <c r="K35" s="26">
        <f>+H35+I35+J35</f>
        <v>6362537.1771500008</v>
      </c>
      <c r="L35" s="26">
        <v>4615650</v>
      </c>
      <c r="M35" s="26">
        <f>+L35-K35</f>
        <v>-1746887.1771500008</v>
      </c>
      <c r="N35" s="29">
        <f>+L35/K35</f>
        <v>0.72544173361789432</v>
      </c>
    </row>
    <row r="36" spans="1:14" ht="15" x14ac:dyDescent="0.25">
      <c r="A36" s="25" t="s">
        <v>136</v>
      </c>
      <c r="B36" s="24">
        <f>SUM(B21:B35)</f>
        <v>11424244.3058</v>
      </c>
      <c r="C36" s="24">
        <f>SUM(C21:C35)</f>
        <v>15193558.3058</v>
      </c>
      <c r="D36" s="24">
        <f>SUM(D21:D35)</f>
        <v>11826448.5558</v>
      </c>
      <c r="E36" s="24">
        <f>SUM(E21:E35)</f>
        <v>3850488.8058000002</v>
      </c>
      <c r="F36" s="24">
        <f>SUM(F21:F35)</f>
        <v>14469110.566874547</v>
      </c>
      <c r="G36" s="24">
        <f>SUM(G21:G35)</f>
        <v>166545811.53619999</v>
      </c>
      <c r="H36" s="51">
        <f>SUM(H21:H35)</f>
        <v>223309662.07627454</v>
      </c>
      <c r="I36" s="24">
        <f>SUM(I21:I35)</f>
        <v>357156295.86874998</v>
      </c>
      <c r="J36" s="24">
        <f>SUM(J21:J35)</f>
        <v>0</v>
      </c>
      <c r="K36" s="24">
        <f>SUM(K21:K35)</f>
        <v>580465957.94502461</v>
      </c>
      <c r="L36" s="24">
        <f>SUM(L21:L35)</f>
        <v>420377033</v>
      </c>
      <c r="M36" s="23">
        <f>+L36-K36</f>
        <v>-160088924.94502461</v>
      </c>
      <c r="N36" s="22">
        <f>+L36/K36</f>
        <v>0.72420617823692168</v>
      </c>
    </row>
    <row r="37" spans="1:14" ht="15" x14ac:dyDescent="0.25">
      <c r="A37" s="52" t="s">
        <v>135</v>
      </c>
      <c r="B37" s="24"/>
      <c r="C37" s="24"/>
      <c r="D37" s="24"/>
      <c r="E37" s="24"/>
      <c r="F37" s="24"/>
      <c r="G37" s="24"/>
      <c r="H37" s="51"/>
      <c r="I37" s="24"/>
      <c r="J37" s="24"/>
      <c r="K37" s="24"/>
      <c r="L37" s="24"/>
      <c r="M37" s="26"/>
      <c r="N37" s="22"/>
    </row>
    <row r="38" spans="1:14" s="27" customFormat="1" ht="15" x14ac:dyDescent="0.25">
      <c r="A38" s="40" t="s">
        <v>134</v>
      </c>
      <c r="B38" s="23"/>
      <c r="C38" s="23"/>
      <c r="D38" s="23"/>
      <c r="E38" s="23"/>
      <c r="F38" s="23"/>
      <c r="G38" s="23"/>
      <c r="H38" s="23"/>
      <c r="I38" s="23">
        <f>SUM(I39:I41)</f>
        <v>91358582</v>
      </c>
      <c r="J38" s="23">
        <f>SUM(J39:J41)</f>
        <v>0</v>
      </c>
      <c r="K38" s="23">
        <f>SUM(K39:K41)</f>
        <v>91358582</v>
      </c>
      <c r="L38" s="23">
        <f>SUM(L39:L41)</f>
        <v>84377887</v>
      </c>
      <c r="M38" s="23">
        <f>+L38-K38</f>
        <v>-6980695</v>
      </c>
      <c r="N38" s="22">
        <f>+L38/K38</f>
        <v>0.92359015598556471</v>
      </c>
    </row>
    <row r="39" spans="1:14" s="38" customFormat="1" ht="15" hidden="1" outlineLevel="1" x14ac:dyDescent="0.25">
      <c r="A39" s="39" t="s">
        <v>133</v>
      </c>
      <c r="B39" s="26"/>
      <c r="C39" s="24"/>
      <c r="D39" s="24"/>
      <c r="E39" s="24"/>
      <c r="F39" s="24"/>
      <c r="G39" s="24"/>
      <c r="H39" s="26"/>
      <c r="I39" s="26">
        <v>40940172</v>
      </c>
      <c r="J39" s="26"/>
      <c r="K39" s="35">
        <f>+H39+I39+J39</f>
        <v>40940172</v>
      </c>
      <c r="L39" s="35">
        <v>40639510</v>
      </c>
      <c r="M39" s="26">
        <f>+L39-K39</f>
        <v>-300662</v>
      </c>
      <c r="N39" s="29">
        <f>+L39/K39</f>
        <v>0.99265606407320417</v>
      </c>
    </row>
    <row r="40" spans="1:14" s="38" customFormat="1" ht="15" hidden="1" outlineLevel="1" x14ac:dyDescent="0.25">
      <c r="A40" s="39" t="s">
        <v>132</v>
      </c>
      <c r="B40" s="26"/>
      <c r="C40" s="24"/>
      <c r="D40" s="24"/>
      <c r="E40" s="24"/>
      <c r="F40" s="24"/>
      <c r="G40" s="24"/>
      <c r="H40" s="26"/>
      <c r="I40" s="26">
        <v>50418410</v>
      </c>
      <c r="J40" s="26"/>
      <c r="K40" s="35">
        <f>+H40+I40+J40</f>
        <v>50418410</v>
      </c>
      <c r="L40" s="35">
        <v>43738377</v>
      </c>
      <c r="M40" s="26">
        <f>+L40-K40</f>
        <v>-6680033</v>
      </c>
      <c r="N40" s="29">
        <f>+L40/K40</f>
        <v>0.8675080590601727</v>
      </c>
    </row>
    <row r="41" spans="1:14" s="38" customFormat="1" ht="15" hidden="1" outlineLevel="1" x14ac:dyDescent="0.25">
      <c r="A41" s="39" t="s">
        <v>131</v>
      </c>
      <c r="B41" s="26"/>
      <c r="C41" s="24"/>
      <c r="D41" s="24"/>
      <c r="E41" s="24"/>
      <c r="F41" s="24"/>
      <c r="G41" s="24"/>
      <c r="H41" s="26"/>
      <c r="I41" s="26"/>
      <c r="J41" s="26">
        <v>0</v>
      </c>
      <c r="K41" s="35">
        <f>+H41+I41+J41</f>
        <v>0</v>
      </c>
      <c r="L41" s="35">
        <f>+I41+J41+K41</f>
        <v>0</v>
      </c>
      <c r="M41" s="26">
        <f>+L41-K41</f>
        <v>0</v>
      </c>
      <c r="N41" s="29">
        <v>0</v>
      </c>
    </row>
    <row r="42" spans="1:14" s="27" customFormat="1" ht="15" collapsed="1" x14ac:dyDescent="0.25">
      <c r="A42" s="40" t="s">
        <v>130</v>
      </c>
      <c r="B42" s="23"/>
      <c r="C42" s="23"/>
      <c r="D42" s="23"/>
      <c r="E42" s="23"/>
      <c r="F42" s="23"/>
      <c r="G42" s="23"/>
      <c r="H42" s="23"/>
      <c r="I42" s="23">
        <f>SUM(I43:I45)</f>
        <v>73639350</v>
      </c>
      <c r="J42" s="23">
        <f>SUM(J43:J45)</f>
        <v>0</v>
      </c>
      <c r="K42" s="23">
        <f>SUM(K43:K45)</f>
        <v>73639350</v>
      </c>
      <c r="L42" s="23">
        <f>SUM(L43:L45)</f>
        <v>41294971</v>
      </c>
      <c r="M42" s="23">
        <f>+L42-K42</f>
        <v>-32344379</v>
      </c>
      <c r="N42" s="22">
        <f>+L42/K42</f>
        <v>0.56077316000209132</v>
      </c>
    </row>
    <row r="43" spans="1:14" s="38" customFormat="1" ht="15" hidden="1" outlineLevel="1" x14ac:dyDescent="0.25">
      <c r="A43" s="39" t="s">
        <v>129</v>
      </c>
      <c r="B43" s="26"/>
      <c r="C43" s="24"/>
      <c r="D43" s="24"/>
      <c r="E43" s="24"/>
      <c r="F43" s="24"/>
      <c r="G43" s="24"/>
      <c r="H43" s="26"/>
      <c r="I43" s="26">
        <v>7457712</v>
      </c>
      <c r="J43" s="26"/>
      <c r="K43" s="35">
        <f>+H43+I43+J43</f>
        <v>7457712</v>
      </c>
      <c r="L43" s="35">
        <v>1493380</v>
      </c>
      <c r="M43" s="26">
        <f>+L43-K43</f>
        <v>-5964332</v>
      </c>
      <c r="N43" s="29">
        <f>+L43/K43</f>
        <v>0.20024640265003529</v>
      </c>
    </row>
    <row r="44" spans="1:14" s="38" customFormat="1" ht="15" hidden="1" outlineLevel="1" x14ac:dyDescent="0.25">
      <c r="A44" s="39" t="s">
        <v>128</v>
      </c>
      <c r="B44" s="26"/>
      <c r="C44" s="24"/>
      <c r="D44" s="24"/>
      <c r="E44" s="24"/>
      <c r="F44" s="24"/>
      <c r="G44" s="24"/>
      <c r="H44" s="26"/>
      <c r="I44" s="26">
        <f>66181638-14000000</f>
        <v>52181638</v>
      </c>
      <c r="J44" s="26"/>
      <c r="K44" s="35">
        <f>+H44+I44+J44</f>
        <v>52181638</v>
      </c>
      <c r="L44" s="35">
        <v>27926361</v>
      </c>
      <c r="M44" s="26">
        <f>+L44-K44</f>
        <v>-24255277</v>
      </c>
      <c r="N44" s="29">
        <f>+L44/K44</f>
        <v>0.535176013447489</v>
      </c>
    </row>
    <row r="45" spans="1:14" s="38" customFormat="1" ht="15" hidden="1" outlineLevel="1" x14ac:dyDescent="0.25">
      <c r="A45" s="39" t="s">
        <v>127</v>
      </c>
      <c r="B45" s="26"/>
      <c r="C45" s="24"/>
      <c r="D45" s="24"/>
      <c r="E45" s="24"/>
      <c r="F45" s="24"/>
      <c r="G45" s="24"/>
      <c r="H45" s="26"/>
      <c r="I45" s="26">
        <v>14000000</v>
      </c>
      <c r="J45" s="26"/>
      <c r="K45" s="35">
        <f>+H45+I45+J45</f>
        <v>14000000</v>
      </c>
      <c r="L45" s="35">
        <v>11875230</v>
      </c>
      <c r="M45" s="26">
        <f>+L45-K45</f>
        <v>-2124770</v>
      </c>
      <c r="N45" s="29">
        <f>+L45/K45</f>
        <v>0.84823071428571428</v>
      </c>
    </row>
    <row r="46" spans="1:14" ht="15" collapsed="1" x14ac:dyDescent="0.25">
      <c r="A46" s="52" t="s">
        <v>126</v>
      </c>
      <c r="B46" s="24"/>
      <c r="C46" s="24"/>
      <c r="D46" s="24"/>
      <c r="E46" s="24"/>
      <c r="F46" s="24"/>
      <c r="G46" s="24"/>
      <c r="H46" s="51"/>
      <c r="I46" s="24">
        <f>+I38+I42</f>
        <v>164997932</v>
      </c>
      <c r="J46" s="24">
        <f>+J38+J42</f>
        <v>0</v>
      </c>
      <c r="K46" s="24">
        <f>+K38+K42</f>
        <v>164997932</v>
      </c>
      <c r="L46" s="24">
        <f>+L38+L42</f>
        <v>125672858</v>
      </c>
      <c r="M46" s="23">
        <f>+L46-K46</f>
        <v>-39325074</v>
      </c>
      <c r="N46" s="22">
        <f>+L46/K46</f>
        <v>0.7616632310276471</v>
      </c>
    </row>
    <row r="47" spans="1:14" ht="15" x14ac:dyDescent="0.25">
      <c r="A47" s="25"/>
      <c r="B47" s="24"/>
      <c r="C47" s="24"/>
      <c r="D47" s="24"/>
      <c r="E47" s="24"/>
      <c r="F47" s="24"/>
      <c r="G47" s="24"/>
      <c r="H47" s="51"/>
      <c r="I47" s="24"/>
      <c r="J47" s="24"/>
      <c r="K47" s="24"/>
      <c r="L47" s="24"/>
      <c r="M47" s="26"/>
      <c r="N47" s="22"/>
    </row>
    <row r="48" spans="1:14" ht="15" x14ac:dyDescent="0.25">
      <c r="A48" s="25" t="s">
        <v>125</v>
      </c>
      <c r="B48" s="24">
        <f>+B36+B19</f>
        <v>188005688.77753842</v>
      </c>
      <c r="C48" s="24">
        <f>+C36+C19</f>
        <v>228948493.95277923</v>
      </c>
      <c r="D48" s="24">
        <f>+D36+D19</f>
        <v>147109271.1326974</v>
      </c>
      <c r="E48" s="24">
        <f>+E36+E19</f>
        <v>23178427.989818662</v>
      </c>
      <c r="F48" s="24">
        <f>+F36+F19</f>
        <v>163107285.14701909</v>
      </c>
      <c r="G48" s="24">
        <f>+G36+G19</f>
        <v>585980038.43153477</v>
      </c>
      <c r="H48" s="51">
        <f>+B48+C48+D48+G48+E48+F48</f>
        <v>1336329205.4313877</v>
      </c>
      <c r="I48" s="24">
        <f>+I36+I19+I46</f>
        <v>820460822.76443768</v>
      </c>
      <c r="J48" s="24">
        <f>+J36+J19+J46</f>
        <v>0</v>
      </c>
      <c r="K48" s="24">
        <f>+K36+K19+K46</f>
        <v>2156790028.1958256</v>
      </c>
      <c r="L48" s="24">
        <f>+L36+L19+L46</f>
        <v>1753356612</v>
      </c>
      <c r="M48" s="23">
        <f>+L48-K48</f>
        <v>-403433416.19582558</v>
      </c>
      <c r="N48" s="22">
        <f>+L48/K48</f>
        <v>0.81294729161312873</v>
      </c>
    </row>
    <row r="49" spans="1:14" ht="15" x14ac:dyDescent="0.25">
      <c r="A49" s="25"/>
      <c r="B49" s="24"/>
      <c r="C49" s="24"/>
      <c r="D49" s="24"/>
      <c r="E49" s="24"/>
      <c r="F49" s="24"/>
      <c r="G49" s="24"/>
      <c r="H49" s="51"/>
      <c r="I49" s="24"/>
      <c r="J49" s="24"/>
      <c r="K49" s="24"/>
      <c r="L49" s="24"/>
      <c r="M49" s="26"/>
      <c r="N49" s="22"/>
    </row>
    <row r="50" spans="1:14" ht="15" x14ac:dyDescent="0.25">
      <c r="A50" s="50" t="s">
        <v>124</v>
      </c>
      <c r="B50" s="49">
        <f>+B52</f>
        <v>446165401</v>
      </c>
      <c r="C50" s="49">
        <f>+C121</f>
        <v>1018078406</v>
      </c>
      <c r="D50" s="49">
        <f>+D149</f>
        <v>1474353780</v>
      </c>
      <c r="E50" s="49">
        <f>+E180</f>
        <v>417000000</v>
      </c>
      <c r="F50" s="49">
        <f>+F64</f>
        <v>2268095326</v>
      </c>
      <c r="G50" s="49">
        <f>+G103</f>
        <v>2951387712</v>
      </c>
      <c r="H50" s="49">
        <f>+B50+C50+D50+G50+E50+F50</f>
        <v>8575080625</v>
      </c>
      <c r="I50" s="49">
        <v>0</v>
      </c>
      <c r="J50" s="49">
        <f>+J52+J64+J103+J121+J149+J180</f>
        <v>60000000</v>
      </c>
      <c r="K50" s="49">
        <f>+I50+H50+J50</f>
        <v>8635080625</v>
      </c>
      <c r="L50" s="49">
        <f>L52+L64+L103+L121+L149+L180</f>
        <v>7502839827</v>
      </c>
      <c r="M50" s="23">
        <f>+L50-K50</f>
        <v>-1132240798</v>
      </c>
      <c r="N50" s="22">
        <f>+L50/K50</f>
        <v>0.86887895467681286</v>
      </c>
    </row>
    <row r="51" spans="1:14" ht="15" x14ac:dyDescent="0.2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6"/>
      <c r="N51" s="22"/>
    </row>
    <row r="52" spans="1:14" ht="15" x14ac:dyDescent="0.25">
      <c r="A52" s="50" t="s">
        <v>123</v>
      </c>
      <c r="B52" s="49">
        <f>+B53+B55+B59</f>
        <v>446165401</v>
      </c>
      <c r="C52" s="49"/>
      <c r="D52" s="49"/>
      <c r="E52" s="49"/>
      <c r="F52" s="49"/>
      <c r="G52" s="49"/>
      <c r="H52" s="49">
        <f>+H53+H55+H59</f>
        <v>446165401</v>
      </c>
      <c r="I52" s="49"/>
      <c r="J52" s="49">
        <f>+J53+J55+J59</f>
        <v>0</v>
      </c>
      <c r="K52" s="49">
        <f>+K53+K55+K59</f>
        <v>446165401</v>
      </c>
      <c r="L52" s="49">
        <f>+L53+L55+L59</f>
        <v>358397105</v>
      </c>
      <c r="M52" s="23">
        <f>+L52-K52</f>
        <v>-87768296</v>
      </c>
      <c r="N52" s="22">
        <f>+L52/K52</f>
        <v>0.80328305197291616</v>
      </c>
    </row>
    <row r="53" spans="1:14" s="38" customFormat="1" ht="15" x14ac:dyDescent="0.25">
      <c r="A53" s="32" t="s">
        <v>122</v>
      </c>
      <c r="B53" s="24">
        <f>+SUM(B54:B54)</f>
        <v>154129428</v>
      </c>
      <c r="C53" s="24"/>
      <c r="D53" s="24"/>
      <c r="E53" s="24"/>
      <c r="F53" s="24"/>
      <c r="G53" s="24"/>
      <c r="H53" s="24">
        <f>+SUM(H54:H54)</f>
        <v>154129428</v>
      </c>
      <c r="I53" s="24"/>
      <c r="J53" s="24">
        <f>+SUM(J54:J54)</f>
        <v>0</v>
      </c>
      <c r="K53" s="24">
        <f>+SUM(K54:K54)</f>
        <v>154129428</v>
      </c>
      <c r="L53" s="24">
        <f>+SUM(L54:L54)</f>
        <v>88878128</v>
      </c>
      <c r="M53" s="23">
        <f>+L53-K53</f>
        <v>-65251300</v>
      </c>
      <c r="N53" s="22">
        <f>+L53/K53</f>
        <v>0.57664606398201901</v>
      </c>
    </row>
    <row r="54" spans="1:14" s="38" customFormat="1" ht="15" hidden="1" outlineLevel="1" x14ac:dyDescent="0.25">
      <c r="A54" s="39" t="s">
        <v>121</v>
      </c>
      <c r="B54" s="26">
        <v>154129428</v>
      </c>
      <c r="C54" s="24"/>
      <c r="D54" s="24"/>
      <c r="E54" s="24"/>
      <c r="F54" s="24"/>
      <c r="G54" s="24"/>
      <c r="H54" s="26">
        <f>+B54+C54+D54+G54+E54+F54</f>
        <v>154129428</v>
      </c>
      <c r="I54" s="24"/>
      <c r="J54" s="26"/>
      <c r="K54" s="35">
        <f>+H54+I54+J54</f>
        <v>154129428</v>
      </c>
      <c r="L54" s="35">
        <v>88878128</v>
      </c>
      <c r="M54" s="26">
        <f>+L54-K54</f>
        <v>-65251300</v>
      </c>
      <c r="N54" s="29">
        <f>+L54/K54</f>
        <v>0.57664606398201901</v>
      </c>
    </row>
    <row r="55" spans="1:14" s="38" customFormat="1" ht="15" collapsed="1" x14ac:dyDescent="0.25">
      <c r="A55" s="40" t="s">
        <v>120</v>
      </c>
      <c r="B55" s="23">
        <f>SUM(B56:B58)</f>
        <v>98562301</v>
      </c>
      <c r="C55" s="24"/>
      <c r="D55" s="24"/>
      <c r="E55" s="24"/>
      <c r="F55" s="24"/>
      <c r="G55" s="24"/>
      <c r="H55" s="23">
        <f>SUM(H56:H58)</f>
        <v>98562301</v>
      </c>
      <c r="I55" s="24"/>
      <c r="J55" s="23">
        <f>SUM(J56:J58)</f>
        <v>0</v>
      </c>
      <c r="K55" s="23">
        <f>SUM(K56:K58)</f>
        <v>98562301</v>
      </c>
      <c r="L55" s="23">
        <f>SUM(L56:L58)</f>
        <v>93992034</v>
      </c>
      <c r="M55" s="23">
        <f>+L55-K55</f>
        <v>-4570267</v>
      </c>
      <c r="N55" s="22">
        <f>+L55/K55</f>
        <v>0.95363067873182061</v>
      </c>
    </row>
    <row r="56" spans="1:14" s="38" customFormat="1" ht="15" hidden="1" outlineLevel="1" x14ac:dyDescent="0.25">
      <c r="A56" s="39" t="s">
        <v>119</v>
      </c>
      <c r="B56" s="48">
        <f>33413775+15400000-1000000</f>
        <v>47813775</v>
      </c>
      <c r="C56" s="24"/>
      <c r="D56" s="24"/>
      <c r="E56" s="24"/>
      <c r="F56" s="24"/>
      <c r="G56" s="24"/>
      <c r="H56" s="26">
        <f>+B56+C56+D56+G56+E56+F56</f>
        <v>47813775</v>
      </c>
      <c r="I56" s="24"/>
      <c r="J56" s="26"/>
      <c r="K56" s="35">
        <f>+H56+I56+J56</f>
        <v>47813775</v>
      </c>
      <c r="L56" s="26">
        <v>44392612</v>
      </c>
      <c r="M56" s="26">
        <f>+L56-K56</f>
        <v>-3421163</v>
      </c>
      <c r="N56" s="29">
        <f>+L56/K56</f>
        <v>0.92844817210103159</v>
      </c>
    </row>
    <row r="57" spans="1:14" s="38" customFormat="1" ht="15" hidden="1" outlineLevel="1" x14ac:dyDescent="0.25">
      <c r="A57" s="39" t="s">
        <v>118</v>
      </c>
      <c r="B57" s="48">
        <f>18653296-10000000</f>
        <v>8653296</v>
      </c>
      <c r="C57" s="24"/>
      <c r="D57" s="24"/>
      <c r="E57" s="24"/>
      <c r="F57" s="24"/>
      <c r="G57" s="24"/>
      <c r="H57" s="26">
        <f>+B57+C57+D57+G57+E57+F57</f>
        <v>8653296</v>
      </c>
      <c r="I57" s="24"/>
      <c r="J57" s="26"/>
      <c r="K57" s="35">
        <f>+H57+I57+J57</f>
        <v>8653296</v>
      </c>
      <c r="L57" s="26">
        <v>7760822</v>
      </c>
      <c r="M57" s="26">
        <f>+L57-K57</f>
        <v>-892474</v>
      </c>
      <c r="N57" s="29">
        <f>+L57/K57</f>
        <v>0.89686311435550103</v>
      </c>
    </row>
    <row r="58" spans="1:14" s="38" customFormat="1" ht="15" hidden="1" outlineLevel="1" x14ac:dyDescent="0.25">
      <c r="A58" s="39" t="s">
        <v>117</v>
      </c>
      <c r="B58" s="48">
        <f>21095230+10000000+10000000+1000000</f>
        <v>42095230</v>
      </c>
      <c r="C58" s="24"/>
      <c r="D58" s="24"/>
      <c r="E58" s="24"/>
      <c r="F58" s="24"/>
      <c r="G58" s="24"/>
      <c r="H58" s="26">
        <f>+B58+C58+D58+G58+E58+F58</f>
        <v>42095230</v>
      </c>
      <c r="I58" s="24"/>
      <c r="J58" s="26"/>
      <c r="K58" s="35">
        <f>+H58+I58+J58</f>
        <v>42095230</v>
      </c>
      <c r="L58" s="26">
        <v>41838600</v>
      </c>
      <c r="M58" s="26">
        <f>+L58-K58</f>
        <v>-256630</v>
      </c>
      <c r="N58" s="29">
        <f>+L58/K58</f>
        <v>0.99390358480046315</v>
      </c>
    </row>
    <row r="59" spans="1:14" s="38" customFormat="1" ht="15" collapsed="1" x14ac:dyDescent="0.25">
      <c r="A59" s="40" t="s">
        <v>116</v>
      </c>
      <c r="B59" s="23">
        <f>SUM(B60:B62)</f>
        <v>193473672</v>
      </c>
      <c r="C59" s="24"/>
      <c r="D59" s="24"/>
      <c r="E59" s="24"/>
      <c r="F59" s="24"/>
      <c r="G59" s="24"/>
      <c r="H59" s="23">
        <f>SUM(H60:H62)</f>
        <v>193473672</v>
      </c>
      <c r="I59" s="24"/>
      <c r="J59" s="23">
        <f>SUM(J60:J62)</f>
        <v>0</v>
      </c>
      <c r="K59" s="23">
        <f>SUM(K60:K62)</f>
        <v>193473672</v>
      </c>
      <c r="L59" s="23">
        <f>SUM(L60:L62)</f>
        <v>175526943</v>
      </c>
      <c r="M59" s="23">
        <f>+L59-K59</f>
        <v>-17946729</v>
      </c>
      <c r="N59" s="22">
        <f>+L59/K59</f>
        <v>0.90723942532087776</v>
      </c>
    </row>
    <row r="60" spans="1:14" s="38" customFormat="1" ht="15" hidden="1" outlineLevel="1" x14ac:dyDescent="0.25">
      <c r="A60" s="39" t="s">
        <v>115</v>
      </c>
      <c r="B60" s="26">
        <f>62772146+21000000</f>
        <v>83772146</v>
      </c>
      <c r="C60" s="24"/>
      <c r="D60" s="24"/>
      <c r="E60" s="24"/>
      <c r="F60" s="24"/>
      <c r="G60" s="24"/>
      <c r="H60" s="26">
        <f>+B60+C60+D60+G60+E60+F60</f>
        <v>83772146</v>
      </c>
      <c r="I60" s="24"/>
      <c r="J60" s="26"/>
      <c r="K60" s="35">
        <f>+H60+I60+J60</f>
        <v>83772146</v>
      </c>
      <c r="L60" s="26">
        <v>78705939</v>
      </c>
      <c r="M60" s="26">
        <f>+L60-K60</f>
        <v>-5066207</v>
      </c>
      <c r="N60" s="29">
        <f>+L60/K60</f>
        <v>0.93952396778757463</v>
      </c>
    </row>
    <row r="61" spans="1:14" s="38" customFormat="1" ht="15" hidden="1" outlineLevel="1" x14ac:dyDescent="0.25">
      <c r="A61" s="39" t="s">
        <v>114</v>
      </c>
      <c r="B61" s="26">
        <f>74662222-21000000</f>
        <v>53662222</v>
      </c>
      <c r="C61" s="24"/>
      <c r="D61" s="24"/>
      <c r="E61" s="24"/>
      <c r="F61" s="24"/>
      <c r="G61" s="24"/>
      <c r="H61" s="26">
        <f>+B61+C61+D61+G61+E61+F61</f>
        <v>53662222</v>
      </c>
      <c r="I61" s="24"/>
      <c r="J61" s="26"/>
      <c r="K61" s="35">
        <f>+H61+I61+J61</f>
        <v>53662222</v>
      </c>
      <c r="L61" s="26">
        <v>47518303</v>
      </c>
      <c r="M61" s="26">
        <f>+L61-K61</f>
        <v>-6143919</v>
      </c>
      <c r="N61" s="29">
        <f>+L61/K61</f>
        <v>0.88550755501700995</v>
      </c>
    </row>
    <row r="62" spans="1:14" s="38" customFormat="1" ht="15" hidden="1" outlineLevel="1" x14ac:dyDescent="0.25">
      <c r="A62" s="39" t="s">
        <v>113</v>
      </c>
      <c r="B62" s="26">
        <v>56039304</v>
      </c>
      <c r="C62" s="24"/>
      <c r="D62" s="24"/>
      <c r="E62" s="24"/>
      <c r="F62" s="24"/>
      <c r="G62" s="24"/>
      <c r="H62" s="26">
        <f>+B62+C62+D62+G62+E62+F62</f>
        <v>56039304</v>
      </c>
      <c r="I62" s="24"/>
      <c r="J62" s="26"/>
      <c r="K62" s="35">
        <f>+H62+I62+J62</f>
        <v>56039304</v>
      </c>
      <c r="L62" s="26">
        <v>49302701</v>
      </c>
      <c r="M62" s="26">
        <f>+L62-K62</f>
        <v>-6736603</v>
      </c>
      <c r="N62" s="29">
        <f>+L62/K62</f>
        <v>0.87978788958549525</v>
      </c>
    </row>
    <row r="63" spans="1:14" s="38" customFormat="1" ht="15" collapsed="1" x14ac:dyDescent="0.25">
      <c r="A63" s="39"/>
      <c r="B63" s="26"/>
      <c r="C63" s="24"/>
      <c r="D63" s="24"/>
      <c r="E63" s="24"/>
      <c r="F63" s="24"/>
      <c r="G63" s="24"/>
      <c r="H63" s="26"/>
      <c r="I63" s="24"/>
      <c r="J63" s="24"/>
      <c r="K63" s="35"/>
      <c r="L63" s="35"/>
      <c r="M63" s="26"/>
      <c r="N63" s="22"/>
    </row>
    <row r="64" spans="1:14" s="38" customFormat="1" ht="15" x14ac:dyDescent="0.25">
      <c r="A64" s="40" t="s">
        <v>112</v>
      </c>
      <c r="B64" s="26"/>
      <c r="C64" s="24"/>
      <c r="D64" s="24"/>
      <c r="E64" s="24"/>
      <c r="F64" s="24">
        <f>+F65+F72+F85+F94</f>
        <v>2268095326</v>
      </c>
      <c r="G64" s="24"/>
      <c r="H64" s="24">
        <f>+H65+H72+H85+H94</f>
        <v>2268095326</v>
      </c>
      <c r="I64" s="24"/>
      <c r="J64" s="24">
        <f>+J65+J72+J85+J94</f>
        <v>0</v>
      </c>
      <c r="K64" s="24">
        <f>+K65+K72+K85+K94</f>
        <v>2268095326</v>
      </c>
      <c r="L64" s="24">
        <f>+L65+L72+L85+L94</f>
        <v>2237701451</v>
      </c>
      <c r="M64" s="23">
        <f>+L64-K64</f>
        <v>-30393875</v>
      </c>
      <c r="N64" s="22">
        <f>+L64/K64</f>
        <v>0.98659938378621748</v>
      </c>
    </row>
    <row r="65" spans="1:14" s="38" customFormat="1" ht="15" x14ac:dyDescent="0.25">
      <c r="A65" s="40" t="s">
        <v>111</v>
      </c>
      <c r="B65" s="26"/>
      <c r="C65" s="24"/>
      <c r="D65" s="24"/>
      <c r="E65" s="24"/>
      <c r="F65" s="24">
        <f>SUM(F66:F71)</f>
        <v>389433563</v>
      </c>
      <c r="G65" s="24"/>
      <c r="H65" s="24">
        <f>SUM(H66:H71)</f>
        <v>389433563</v>
      </c>
      <c r="I65" s="24"/>
      <c r="J65" s="24">
        <f>SUM(J66:J71)</f>
        <v>0</v>
      </c>
      <c r="K65" s="24">
        <f>SUM(K66:K71)</f>
        <v>389433563</v>
      </c>
      <c r="L65" s="24">
        <f>SUM(L66:L71)</f>
        <v>388666083</v>
      </c>
      <c r="M65" s="23">
        <f>+L65-K65</f>
        <v>-767480</v>
      </c>
      <c r="N65" s="22">
        <f>+L65/K65</f>
        <v>0.99802924022755579</v>
      </c>
    </row>
    <row r="66" spans="1:14" s="38" customFormat="1" ht="15" hidden="1" outlineLevel="1" x14ac:dyDescent="0.25">
      <c r="A66" s="39" t="s">
        <v>110</v>
      </c>
      <c r="B66" s="26"/>
      <c r="C66" s="24"/>
      <c r="D66" s="24"/>
      <c r="E66" s="24"/>
      <c r="F66" s="35">
        <v>51758730</v>
      </c>
      <c r="G66" s="24"/>
      <c r="H66" s="26">
        <f>+B66+C66+D66+G66+E66+F66</f>
        <v>51758730</v>
      </c>
      <c r="I66" s="24"/>
      <c r="J66" s="26"/>
      <c r="K66" s="35">
        <f>+H66+I66+J66</f>
        <v>51758730</v>
      </c>
      <c r="L66" s="35">
        <v>51756079</v>
      </c>
      <c r="M66" s="26">
        <f>+L66-K66</f>
        <v>-2651</v>
      </c>
      <c r="N66" s="29">
        <f>+L66/K66</f>
        <v>0.99994878158718348</v>
      </c>
    </row>
    <row r="67" spans="1:14" s="38" customFormat="1" ht="15" hidden="1" outlineLevel="1" x14ac:dyDescent="0.25">
      <c r="A67" s="39" t="s">
        <v>109</v>
      </c>
      <c r="B67" s="26"/>
      <c r="C67" s="24"/>
      <c r="D67" s="24"/>
      <c r="E67" s="24"/>
      <c r="F67" s="35">
        <v>94882867</v>
      </c>
      <c r="G67" s="24"/>
      <c r="H67" s="26">
        <f>+B67+C67+D67+G67+E67+F67</f>
        <v>94882867</v>
      </c>
      <c r="I67" s="24"/>
      <c r="J67" s="26"/>
      <c r="K67" s="35">
        <f>+H67+I67+J67</f>
        <v>94882867</v>
      </c>
      <c r="L67" s="35">
        <v>94795750</v>
      </c>
      <c r="M67" s="26">
        <f>+L67-K67</f>
        <v>-87117</v>
      </c>
      <c r="N67" s="29">
        <f>+L67/K67</f>
        <v>0.99908184688390578</v>
      </c>
    </row>
    <row r="68" spans="1:14" s="38" customFormat="1" ht="15" hidden="1" outlineLevel="1" x14ac:dyDescent="0.25">
      <c r="A68" s="39" t="s">
        <v>108</v>
      </c>
      <c r="B68" s="26"/>
      <c r="C68" s="24"/>
      <c r="D68" s="24"/>
      <c r="E68" s="24"/>
      <c r="F68" s="35">
        <v>6650000</v>
      </c>
      <c r="G68" s="24"/>
      <c r="H68" s="26">
        <f>+B68+C68+D68+G68+E68+F68</f>
        <v>6650000</v>
      </c>
      <c r="I68" s="24"/>
      <c r="J68" s="26"/>
      <c r="K68" s="35">
        <f>+H68+I68+J68</f>
        <v>6650000</v>
      </c>
      <c r="L68" s="35">
        <v>6644664</v>
      </c>
      <c r="M68" s="26">
        <f>+L68-K68</f>
        <v>-5336</v>
      </c>
      <c r="N68" s="29">
        <f>+L68/K68</f>
        <v>0.99919759398496244</v>
      </c>
    </row>
    <row r="69" spans="1:14" s="38" customFormat="1" ht="15" hidden="1" outlineLevel="1" x14ac:dyDescent="0.25">
      <c r="A69" s="39" t="s">
        <v>107</v>
      </c>
      <c r="B69" s="26"/>
      <c r="C69" s="24"/>
      <c r="D69" s="24"/>
      <c r="E69" s="24"/>
      <c r="F69" s="35"/>
      <c r="G69" s="24"/>
      <c r="H69" s="26">
        <f>+B69+C69+D69+G69+E69+F69</f>
        <v>0</v>
      </c>
      <c r="I69" s="24"/>
      <c r="J69" s="26"/>
      <c r="K69" s="35">
        <f>+H69+I69+J69</f>
        <v>0</v>
      </c>
      <c r="L69" s="35">
        <v>0</v>
      </c>
      <c r="M69" s="26">
        <f>+L69-K69</f>
        <v>0</v>
      </c>
      <c r="N69" s="29">
        <v>0</v>
      </c>
    </row>
    <row r="70" spans="1:14" s="38" customFormat="1" ht="15" hidden="1" outlineLevel="1" x14ac:dyDescent="0.25">
      <c r="A70" s="39" t="s">
        <v>106</v>
      </c>
      <c r="B70" s="26"/>
      <c r="C70" s="24"/>
      <c r="D70" s="24"/>
      <c r="E70" s="24"/>
      <c r="F70" s="35">
        <v>90711740</v>
      </c>
      <c r="G70" s="24"/>
      <c r="H70" s="26">
        <f>+B70+C70+D70+G70+E70+F70</f>
        <v>90711740</v>
      </c>
      <c r="I70" s="24"/>
      <c r="J70" s="26"/>
      <c r="K70" s="35">
        <f>+H70+I70+J70</f>
        <v>90711740</v>
      </c>
      <c r="L70" s="35">
        <v>90469591</v>
      </c>
      <c r="M70" s="26">
        <f>+L70-K70</f>
        <v>-242149</v>
      </c>
      <c r="N70" s="29">
        <f>+L70/K70</f>
        <v>0.99733056603257753</v>
      </c>
    </row>
    <row r="71" spans="1:14" s="38" customFormat="1" ht="15" hidden="1" outlineLevel="1" x14ac:dyDescent="0.25">
      <c r="A71" s="39" t="s">
        <v>105</v>
      </c>
      <c r="B71" s="26"/>
      <c r="C71" s="24"/>
      <c r="D71" s="24"/>
      <c r="E71" s="24"/>
      <c r="F71" s="35">
        <v>145430226</v>
      </c>
      <c r="G71" s="24"/>
      <c r="H71" s="26">
        <f>+B71+C71+D71+G71+E71+F71</f>
        <v>145430226</v>
      </c>
      <c r="I71" s="24"/>
      <c r="J71" s="26"/>
      <c r="K71" s="35">
        <f>+H71+I71+J71</f>
        <v>145430226</v>
      </c>
      <c r="L71" s="35">
        <v>144999999</v>
      </c>
      <c r="M71" s="26">
        <f>+L71-K71</f>
        <v>-430227</v>
      </c>
      <c r="N71" s="29">
        <f>+L71/K71</f>
        <v>0.99704169475745708</v>
      </c>
    </row>
    <row r="72" spans="1:14" s="38" customFormat="1" ht="15" collapsed="1" x14ac:dyDescent="0.25">
      <c r="A72" s="40" t="s">
        <v>104</v>
      </c>
      <c r="B72" s="26"/>
      <c r="C72" s="24"/>
      <c r="D72" s="24"/>
      <c r="E72" s="24"/>
      <c r="F72" s="24">
        <f>SUM(F73:F84)</f>
        <v>1442116524</v>
      </c>
      <c r="G72" s="24"/>
      <c r="H72" s="24">
        <f>SUM(H73:H84)</f>
        <v>1442116524</v>
      </c>
      <c r="I72" s="24"/>
      <c r="J72" s="24">
        <f>SUM(J73:J84)</f>
        <v>0</v>
      </c>
      <c r="K72" s="24">
        <f>SUM(K73:K84)</f>
        <v>1442116524</v>
      </c>
      <c r="L72" s="24">
        <f>SUM(L73:L84)</f>
        <v>1424750875</v>
      </c>
      <c r="M72" s="23">
        <f>+L72-K72</f>
        <v>-17365649</v>
      </c>
      <c r="N72" s="22">
        <f>+L72/K72</f>
        <v>0.98795822063543592</v>
      </c>
    </row>
    <row r="73" spans="1:14" s="38" customFormat="1" ht="15" hidden="1" outlineLevel="1" x14ac:dyDescent="0.25">
      <c r="A73" s="39" t="s">
        <v>103</v>
      </c>
      <c r="B73" s="26"/>
      <c r="C73" s="24"/>
      <c r="D73" s="24"/>
      <c r="E73" s="24"/>
      <c r="F73" s="35">
        <v>778986360</v>
      </c>
      <c r="G73" s="24"/>
      <c r="H73" s="26">
        <f>+B73+C73+D73+G73+E73+F73</f>
        <v>778986360</v>
      </c>
      <c r="I73" s="24"/>
      <c r="J73" s="26"/>
      <c r="K73" s="35">
        <f>+H73+I73+J73</f>
        <v>778986360</v>
      </c>
      <c r="L73" s="35">
        <v>778986360</v>
      </c>
      <c r="M73" s="26">
        <f>+L73-K73</f>
        <v>0</v>
      </c>
      <c r="N73" s="29">
        <f>+L73/K73</f>
        <v>1</v>
      </c>
    </row>
    <row r="74" spans="1:14" s="38" customFormat="1" ht="15" hidden="1" outlineLevel="1" x14ac:dyDescent="0.25">
      <c r="A74" s="39" t="s">
        <v>102</v>
      </c>
      <c r="B74" s="26"/>
      <c r="C74" s="24"/>
      <c r="D74" s="24"/>
      <c r="E74" s="24"/>
      <c r="F74" s="35">
        <v>17000000</v>
      </c>
      <c r="G74" s="24"/>
      <c r="H74" s="26">
        <f>+B74+C74+D74+G74+E74+F74</f>
        <v>17000000</v>
      </c>
      <c r="I74" s="24"/>
      <c r="J74" s="26"/>
      <c r="K74" s="35">
        <f>+H74+I74+J74</f>
        <v>17000000</v>
      </c>
      <c r="L74" s="35">
        <v>16226921</v>
      </c>
      <c r="M74" s="26">
        <f>+L74-K74</f>
        <v>-773079</v>
      </c>
      <c r="N74" s="29">
        <f>+L74/K74</f>
        <v>0.95452476470588232</v>
      </c>
    </row>
    <row r="75" spans="1:14" s="38" customFormat="1" ht="15" hidden="1" outlineLevel="1" x14ac:dyDescent="0.25">
      <c r="A75" s="39" t="s">
        <v>101</v>
      </c>
      <c r="B75" s="26"/>
      <c r="C75" s="24"/>
      <c r="D75" s="24"/>
      <c r="E75" s="24"/>
      <c r="F75" s="35">
        <v>6600000</v>
      </c>
      <c r="G75" s="24"/>
      <c r="H75" s="26">
        <f>+B75+C75+D75+G75+E75+F75</f>
        <v>6600000</v>
      </c>
      <c r="I75" s="24"/>
      <c r="J75" s="26"/>
      <c r="K75" s="35">
        <f>+H75+I75+J75</f>
        <v>6600000</v>
      </c>
      <c r="L75" s="35">
        <v>6575262</v>
      </c>
      <c r="M75" s="26">
        <f>+L75-K75</f>
        <v>-24738</v>
      </c>
      <c r="N75" s="29">
        <f>+L75/K75</f>
        <v>0.99625181818181818</v>
      </c>
    </row>
    <row r="76" spans="1:14" s="38" customFormat="1" ht="15" hidden="1" outlineLevel="1" x14ac:dyDescent="0.25">
      <c r="A76" s="39" t="s">
        <v>100</v>
      </c>
      <c r="B76" s="26"/>
      <c r="C76" s="24"/>
      <c r="D76" s="24"/>
      <c r="E76" s="24"/>
      <c r="F76" s="35">
        <v>40000000</v>
      </c>
      <c r="G76" s="24"/>
      <c r="H76" s="26">
        <f>+B76+C76+D76+G76+E76+F76</f>
        <v>40000000</v>
      </c>
      <c r="I76" s="24"/>
      <c r="J76" s="26"/>
      <c r="K76" s="35">
        <f>+H76+I76+J76</f>
        <v>40000000</v>
      </c>
      <c r="L76" s="35">
        <v>39667280</v>
      </c>
      <c r="M76" s="26">
        <f>+L76-K76</f>
        <v>-332720</v>
      </c>
      <c r="N76" s="29">
        <f>+L76/K76</f>
        <v>0.99168199999999995</v>
      </c>
    </row>
    <row r="77" spans="1:14" s="38" customFormat="1" ht="15" hidden="1" outlineLevel="1" x14ac:dyDescent="0.25">
      <c r="A77" s="39" t="s">
        <v>99</v>
      </c>
      <c r="B77" s="26"/>
      <c r="C77" s="24"/>
      <c r="D77" s="24"/>
      <c r="E77" s="24"/>
      <c r="F77" s="35">
        <v>19631487</v>
      </c>
      <c r="G77" s="24"/>
      <c r="H77" s="26">
        <f>+B77+C77+D77+G77+E77+F77</f>
        <v>19631487</v>
      </c>
      <c r="I77" s="24"/>
      <c r="J77" s="26"/>
      <c r="K77" s="35">
        <f>+H77+I77+J77</f>
        <v>19631487</v>
      </c>
      <c r="L77" s="35">
        <v>19596119</v>
      </c>
      <c r="M77" s="26">
        <f>+L77-K77</f>
        <v>-35368</v>
      </c>
      <c r="N77" s="29">
        <f>+L77/K77</f>
        <v>0.9981984044305966</v>
      </c>
    </row>
    <row r="78" spans="1:14" s="38" customFormat="1" ht="15" hidden="1" outlineLevel="1" x14ac:dyDescent="0.25">
      <c r="A78" s="39" t="s">
        <v>98</v>
      </c>
      <c r="B78" s="26"/>
      <c r="C78" s="24"/>
      <c r="D78" s="24"/>
      <c r="E78" s="24"/>
      <c r="F78" s="35">
        <v>27000000</v>
      </c>
      <c r="G78" s="24"/>
      <c r="H78" s="26">
        <f>+B78+C78+D78+G78+E78+F78</f>
        <v>27000000</v>
      </c>
      <c r="I78" s="24"/>
      <c r="J78" s="26"/>
      <c r="K78" s="35">
        <f>+H78+I78+J78</f>
        <v>27000000</v>
      </c>
      <c r="L78" s="35">
        <v>27000000</v>
      </c>
      <c r="M78" s="26">
        <f>+L78-K78</f>
        <v>0</v>
      </c>
      <c r="N78" s="29">
        <f>+L78/K78</f>
        <v>1</v>
      </c>
    </row>
    <row r="79" spans="1:14" s="38" customFormat="1" ht="15" hidden="1" outlineLevel="1" x14ac:dyDescent="0.25">
      <c r="A79" s="39" t="s">
        <v>97</v>
      </c>
      <c r="B79" s="26"/>
      <c r="C79" s="24"/>
      <c r="D79" s="24"/>
      <c r="E79" s="24"/>
      <c r="F79" s="35">
        <v>30503451</v>
      </c>
      <c r="G79" s="24"/>
      <c r="H79" s="26">
        <f>+B79+C79+D79+G79+E79+F79</f>
        <v>30503451</v>
      </c>
      <c r="I79" s="24"/>
      <c r="J79" s="26"/>
      <c r="K79" s="35">
        <f>+H79+I79+J79</f>
        <v>30503451</v>
      </c>
      <c r="L79" s="35">
        <v>30450834</v>
      </c>
      <c r="M79" s="26">
        <f>+L79-K79</f>
        <v>-52617</v>
      </c>
      <c r="N79" s="29">
        <f>+L79/K79</f>
        <v>0.99827504763313502</v>
      </c>
    </row>
    <row r="80" spans="1:14" s="38" customFormat="1" ht="15" hidden="1" outlineLevel="1" x14ac:dyDescent="0.25">
      <c r="A80" s="39" t="s">
        <v>96</v>
      </c>
      <c r="B80" s="26"/>
      <c r="C80" s="24"/>
      <c r="D80" s="24"/>
      <c r="E80" s="24"/>
      <c r="F80" s="35">
        <v>79979358</v>
      </c>
      <c r="G80" s="24"/>
      <c r="H80" s="26">
        <f>+B80+C80+D80+G80+E80+F80</f>
        <v>79979358</v>
      </c>
      <c r="I80" s="24"/>
      <c r="J80" s="26"/>
      <c r="K80" s="35">
        <f>+H80+I80+J80</f>
        <v>79979358</v>
      </c>
      <c r="L80" s="35">
        <v>79976820</v>
      </c>
      <c r="M80" s="26">
        <f>+L80-K80</f>
        <v>-2538</v>
      </c>
      <c r="N80" s="29">
        <f>+L80/K80</f>
        <v>0.9999682668120442</v>
      </c>
    </row>
    <row r="81" spans="1:14" s="38" customFormat="1" ht="15" hidden="1" outlineLevel="1" x14ac:dyDescent="0.25">
      <c r="A81" s="39" t="s">
        <v>95</v>
      </c>
      <c r="B81" s="26"/>
      <c r="C81" s="24"/>
      <c r="D81" s="24"/>
      <c r="E81" s="24"/>
      <c r="F81" s="35">
        <v>63227426</v>
      </c>
      <c r="G81" s="24"/>
      <c r="H81" s="26">
        <f>+B81+C81+D81+G81+E81+F81</f>
        <v>63227426</v>
      </c>
      <c r="I81" s="24"/>
      <c r="J81" s="26"/>
      <c r="K81" s="35">
        <f>+H81+I81+J81</f>
        <v>63227426</v>
      </c>
      <c r="L81" s="35">
        <v>63149167</v>
      </c>
      <c r="M81" s="26">
        <f>+L81-K81</f>
        <v>-78259</v>
      </c>
      <c r="N81" s="29">
        <f>+L81/K81</f>
        <v>0.9987622618070835</v>
      </c>
    </row>
    <row r="82" spans="1:14" s="38" customFormat="1" ht="15" hidden="1" outlineLevel="1" x14ac:dyDescent="0.25">
      <c r="A82" s="39" t="s">
        <v>94</v>
      </c>
      <c r="B82" s="26"/>
      <c r="C82" s="24"/>
      <c r="D82" s="24"/>
      <c r="E82" s="24"/>
      <c r="F82" s="35">
        <v>92538442</v>
      </c>
      <c r="G82" s="24"/>
      <c r="H82" s="26">
        <f>+B82+C82+D82+G82+E82+F82</f>
        <v>92538442</v>
      </c>
      <c r="I82" s="24"/>
      <c r="J82" s="26"/>
      <c r="K82" s="35">
        <f>+H82+I82+J82</f>
        <v>92538442</v>
      </c>
      <c r="L82" s="35">
        <v>88536312</v>
      </c>
      <c r="M82" s="26">
        <f>+L82-K82</f>
        <v>-4002130</v>
      </c>
      <c r="N82" s="29">
        <f>+L82/K82</f>
        <v>0.95675170325430814</v>
      </c>
    </row>
    <row r="83" spans="1:14" s="38" customFormat="1" ht="15" hidden="1" outlineLevel="1" x14ac:dyDescent="0.25">
      <c r="A83" s="39" t="s">
        <v>93</v>
      </c>
      <c r="B83" s="26"/>
      <c r="C83" s="24"/>
      <c r="D83" s="24"/>
      <c r="E83" s="24"/>
      <c r="F83" s="35">
        <v>123950000</v>
      </c>
      <c r="G83" s="24"/>
      <c r="H83" s="26">
        <f>+B83+C83+D83+G83+E83+F83</f>
        <v>123950000</v>
      </c>
      <c r="I83" s="24"/>
      <c r="J83" s="26"/>
      <c r="K83" s="35">
        <f>+H83+I83+J83</f>
        <v>123950000</v>
      </c>
      <c r="L83" s="35">
        <v>123905000</v>
      </c>
      <c r="M83" s="26">
        <f>+L83-K83</f>
        <v>-45000</v>
      </c>
      <c r="N83" s="29">
        <f>+L83/K83</f>
        <v>0.99963695038321909</v>
      </c>
    </row>
    <row r="84" spans="1:14" s="38" customFormat="1" ht="15" hidden="1" outlineLevel="1" x14ac:dyDescent="0.25">
      <c r="A84" s="39" t="s">
        <v>92</v>
      </c>
      <c r="B84" s="26"/>
      <c r="C84" s="24"/>
      <c r="D84" s="24"/>
      <c r="E84" s="24"/>
      <c r="F84" s="35">
        <v>162700000</v>
      </c>
      <c r="G84" s="24"/>
      <c r="H84" s="26">
        <f>+B84+C84+D84+G84+E84+F84</f>
        <v>162700000</v>
      </c>
      <c r="I84" s="24"/>
      <c r="J84" s="26"/>
      <c r="K84" s="35">
        <f>+H84+I84+J84</f>
        <v>162700000</v>
      </c>
      <c r="L84" s="35">
        <v>150680800</v>
      </c>
      <c r="M84" s="26">
        <f>+L84-K84</f>
        <v>-12019200</v>
      </c>
      <c r="N84" s="29">
        <f>+L84/K84</f>
        <v>0.92612661339889368</v>
      </c>
    </row>
    <row r="85" spans="1:14" s="38" customFormat="1" ht="15" collapsed="1" x14ac:dyDescent="0.25">
      <c r="A85" s="40" t="s">
        <v>91</v>
      </c>
      <c r="B85" s="26"/>
      <c r="C85" s="24"/>
      <c r="D85" s="24"/>
      <c r="E85" s="24"/>
      <c r="F85" s="24">
        <f>SUM(F86:F93)</f>
        <v>216109835</v>
      </c>
      <c r="G85" s="24"/>
      <c r="H85" s="24">
        <f>SUM(H86:H93)</f>
        <v>216109835</v>
      </c>
      <c r="I85" s="24"/>
      <c r="J85" s="24">
        <f>SUM(J86:J93)</f>
        <v>0</v>
      </c>
      <c r="K85" s="24">
        <f>SUM(K86:K93)</f>
        <v>216109835</v>
      </c>
      <c r="L85" s="23">
        <f>SUM(L86:L93)</f>
        <v>214143631</v>
      </c>
      <c r="M85" s="23">
        <f>+L85-K85</f>
        <v>-1966204</v>
      </c>
      <c r="N85" s="22">
        <f>+L85/K85</f>
        <v>0.99090183008098631</v>
      </c>
    </row>
    <row r="86" spans="1:14" s="38" customFormat="1" ht="15" hidden="1" outlineLevel="1" x14ac:dyDescent="0.25">
      <c r="A86" s="39" t="s">
        <v>90</v>
      </c>
      <c r="B86" s="26"/>
      <c r="C86" s="24"/>
      <c r="D86" s="24"/>
      <c r="E86" s="24"/>
      <c r="F86" s="35">
        <v>161070005</v>
      </c>
      <c r="G86" s="24"/>
      <c r="H86" s="26">
        <f>+B86+C86+D86+G86+E86+F86</f>
        <v>161070005</v>
      </c>
      <c r="I86" s="24"/>
      <c r="J86" s="26"/>
      <c r="K86" s="35">
        <f>+H86+I86+J86</f>
        <v>161070005</v>
      </c>
      <c r="L86" s="35">
        <v>159125056</v>
      </c>
      <c r="M86" s="26">
        <f>+L86-K86</f>
        <v>-1944949</v>
      </c>
      <c r="N86" s="29">
        <f>+L86/K86</f>
        <v>0.98792482188102004</v>
      </c>
    </row>
    <row r="87" spans="1:14" s="38" customFormat="1" ht="15" hidden="1" outlineLevel="1" x14ac:dyDescent="0.25">
      <c r="A87" s="39" t="s">
        <v>89</v>
      </c>
      <c r="B87" s="26"/>
      <c r="C87" s="24"/>
      <c r="D87" s="24"/>
      <c r="E87" s="24"/>
      <c r="F87" s="35">
        <v>10216300</v>
      </c>
      <c r="G87" s="24"/>
      <c r="H87" s="26">
        <f>+B87+C87+D87+G87+E87+F87</f>
        <v>10216300</v>
      </c>
      <c r="I87" s="24"/>
      <c r="J87" s="26"/>
      <c r="K87" s="35">
        <f>+H87+I87+J87</f>
        <v>10216300</v>
      </c>
      <c r="L87" s="35">
        <v>10195100</v>
      </c>
      <c r="M87" s="26">
        <f>+L87-K87</f>
        <v>-21200</v>
      </c>
      <c r="N87" s="29">
        <f>+L87/K87</f>
        <v>0.99792488474300867</v>
      </c>
    </row>
    <row r="88" spans="1:14" s="38" customFormat="1" ht="15" hidden="1" outlineLevel="1" x14ac:dyDescent="0.25">
      <c r="A88" s="39" t="s">
        <v>88</v>
      </c>
      <c r="B88" s="26"/>
      <c r="C88" s="24"/>
      <c r="D88" s="24"/>
      <c r="E88" s="24"/>
      <c r="F88" s="35"/>
      <c r="G88" s="24"/>
      <c r="H88" s="26">
        <f>+B88+C88+D88+G88+E88+F88</f>
        <v>0</v>
      </c>
      <c r="I88" s="24"/>
      <c r="J88" s="26"/>
      <c r="K88" s="35">
        <f>+H88+I88+J88</f>
        <v>0</v>
      </c>
      <c r="L88" s="35">
        <v>0</v>
      </c>
      <c r="M88" s="26">
        <f>+L88-K88</f>
        <v>0</v>
      </c>
      <c r="N88" s="29">
        <v>0</v>
      </c>
    </row>
    <row r="89" spans="1:14" s="38" customFormat="1" ht="15" hidden="1" outlineLevel="1" x14ac:dyDescent="0.25">
      <c r="A89" s="39" t="s">
        <v>87</v>
      </c>
      <c r="B89" s="26"/>
      <c r="C89" s="24"/>
      <c r="D89" s="24"/>
      <c r="E89" s="24"/>
      <c r="F89" s="35">
        <v>11290054</v>
      </c>
      <c r="G89" s="24"/>
      <c r="H89" s="26">
        <f>+B89+C89+D89+G89+E89+F89</f>
        <v>11290054</v>
      </c>
      <c r="I89" s="24"/>
      <c r="J89" s="26"/>
      <c r="K89" s="35">
        <f>+H89+I89+J89</f>
        <v>11290054</v>
      </c>
      <c r="L89" s="35">
        <v>11290000</v>
      </c>
      <c r="M89" s="26">
        <f>+L89-K89</f>
        <v>-54</v>
      </c>
      <c r="N89" s="29">
        <f>+L89/K89</f>
        <v>0.99999521702907712</v>
      </c>
    </row>
    <row r="90" spans="1:14" s="38" customFormat="1" ht="15" hidden="1" outlineLevel="1" x14ac:dyDescent="0.25">
      <c r="A90" s="39" t="s">
        <v>86</v>
      </c>
      <c r="B90" s="26"/>
      <c r="C90" s="24"/>
      <c r="D90" s="24"/>
      <c r="E90" s="24"/>
      <c r="F90" s="35"/>
      <c r="G90" s="24"/>
      <c r="H90" s="26">
        <f>+B90+C90+D90+G90+E90+F90</f>
        <v>0</v>
      </c>
      <c r="I90" s="24"/>
      <c r="J90" s="26"/>
      <c r="K90" s="35">
        <f>+H90+I90+J90</f>
        <v>0</v>
      </c>
      <c r="L90" s="35">
        <v>0</v>
      </c>
      <c r="M90" s="26">
        <f>+L90-K90</f>
        <v>0</v>
      </c>
      <c r="N90" s="29">
        <v>0</v>
      </c>
    </row>
    <row r="91" spans="1:14" s="38" customFormat="1" ht="15" hidden="1" outlineLevel="1" x14ac:dyDescent="0.25">
      <c r="A91" s="39" t="s">
        <v>85</v>
      </c>
      <c r="B91" s="26"/>
      <c r="C91" s="24"/>
      <c r="D91" s="24"/>
      <c r="E91" s="24"/>
      <c r="F91" s="35"/>
      <c r="G91" s="24"/>
      <c r="H91" s="26">
        <f>+B91+C91+D91+G91+E91+F91</f>
        <v>0</v>
      </c>
      <c r="I91" s="24"/>
      <c r="J91" s="26"/>
      <c r="K91" s="35">
        <f>+H91+I91+J91</f>
        <v>0</v>
      </c>
      <c r="L91" s="35">
        <v>0</v>
      </c>
      <c r="M91" s="26">
        <f>+L91-K91</f>
        <v>0</v>
      </c>
      <c r="N91" s="29">
        <v>0</v>
      </c>
    </row>
    <row r="92" spans="1:14" s="38" customFormat="1" ht="15" hidden="1" outlineLevel="1" x14ac:dyDescent="0.25">
      <c r="A92" s="39" t="s">
        <v>84</v>
      </c>
      <c r="B92" s="26"/>
      <c r="C92" s="24"/>
      <c r="D92" s="24"/>
      <c r="E92" s="24"/>
      <c r="F92" s="35"/>
      <c r="G92" s="24"/>
      <c r="H92" s="26">
        <f>+B92+C92+D92+G92+E92+F92</f>
        <v>0</v>
      </c>
      <c r="I92" s="24"/>
      <c r="J92" s="26"/>
      <c r="K92" s="35">
        <f>+H92+I92+J92</f>
        <v>0</v>
      </c>
      <c r="L92" s="35">
        <v>0</v>
      </c>
      <c r="M92" s="26">
        <f>+L92-K92</f>
        <v>0</v>
      </c>
      <c r="N92" s="29">
        <v>0</v>
      </c>
    </row>
    <row r="93" spans="1:14" s="38" customFormat="1" ht="15" hidden="1" outlineLevel="1" x14ac:dyDescent="0.25">
      <c r="A93" s="39" t="s">
        <v>83</v>
      </c>
      <c r="B93" s="26"/>
      <c r="C93" s="24"/>
      <c r="D93" s="24"/>
      <c r="E93" s="24"/>
      <c r="F93" s="35">
        <v>33533476</v>
      </c>
      <c r="G93" s="24"/>
      <c r="H93" s="26">
        <f>+B93+C93+D93+G93+E93+F93</f>
        <v>33533476</v>
      </c>
      <c r="I93" s="24"/>
      <c r="J93" s="26"/>
      <c r="K93" s="35">
        <f>+H93+I93+J93</f>
        <v>33533476</v>
      </c>
      <c r="L93" s="35">
        <v>33533475</v>
      </c>
      <c r="M93" s="26">
        <f>+L93-K93</f>
        <v>-1</v>
      </c>
      <c r="N93" s="29">
        <f>+L93/K93</f>
        <v>0.99999997017905329</v>
      </c>
    </row>
    <row r="94" spans="1:14" s="38" customFormat="1" ht="15" collapsed="1" x14ac:dyDescent="0.25">
      <c r="A94" s="40" t="s">
        <v>82</v>
      </c>
      <c r="B94" s="23"/>
      <c r="C94" s="23"/>
      <c r="D94" s="23"/>
      <c r="E94" s="23"/>
      <c r="F94" s="23">
        <f>SUM(F95:F101)</f>
        <v>220435404</v>
      </c>
      <c r="G94" s="23"/>
      <c r="H94" s="23">
        <f>+B94+C94+D94+G94+E94+F94</f>
        <v>220435404</v>
      </c>
      <c r="I94" s="23"/>
      <c r="J94" s="23">
        <f>SUM(J95:J101)</f>
        <v>0</v>
      </c>
      <c r="K94" s="23">
        <f>+H94+I94</f>
        <v>220435404</v>
      </c>
      <c r="L94" s="23">
        <f>SUM(L95:L101)</f>
        <v>210140862</v>
      </c>
      <c r="M94" s="23">
        <f>+L94-K94</f>
        <v>-10294542</v>
      </c>
      <c r="N94" s="22">
        <f>+L94/K94</f>
        <v>0.95329905354041944</v>
      </c>
    </row>
    <row r="95" spans="1:14" s="38" customFormat="1" ht="15" hidden="1" outlineLevel="1" x14ac:dyDescent="0.25">
      <c r="A95" s="39" t="s">
        <v>81</v>
      </c>
      <c r="B95" s="26"/>
      <c r="C95" s="24"/>
      <c r="D95" s="24"/>
      <c r="E95" s="24"/>
      <c r="F95" s="35">
        <v>4162572</v>
      </c>
      <c r="G95" s="24"/>
      <c r="H95" s="26">
        <f>+B95+C95+D95+G95+E95+F95</f>
        <v>4162572</v>
      </c>
      <c r="I95" s="24"/>
      <c r="J95" s="35"/>
      <c r="K95" s="35">
        <f>+H95+I95+J95</f>
        <v>4162572</v>
      </c>
      <c r="L95" s="35">
        <v>338150</v>
      </c>
      <c r="M95" s="26">
        <f>+L95-K95</f>
        <v>-3824422</v>
      </c>
      <c r="N95" s="29">
        <f>+L95/K95</f>
        <v>8.1235832076898606E-2</v>
      </c>
    </row>
    <row r="96" spans="1:14" s="38" customFormat="1" ht="15" hidden="1" outlineLevel="1" x14ac:dyDescent="0.25">
      <c r="A96" s="39" t="s">
        <v>80</v>
      </c>
      <c r="B96" s="26"/>
      <c r="C96" s="24"/>
      <c r="D96" s="24"/>
      <c r="E96" s="24"/>
      <c r="F96" s="35">
        <v>49540879</v>
      </c>
      <c r="G96" s="24"/>
      <c r="H96" s="26">
        <f>+B96+C96+D96+G96+E96+F96</f>
        <v>49540879</v>
      </c>
      <c r="I96" s="24"/>
      <c r="J96" s="35"/>
      <c r="K96" s="35">
        <f>+H96+I96+J96</f>
        <v>49540879</v>
      </c>
      <c r="L96" s="35">
        <v>48852263</v>
      </c>
      <c r="M96" s="26">
        <f>+L96-K96</f>
        <v>-688616</v>
      </c>
      <c r="N96" s="29">
        <f>+L96/K96</f>
        <v>0.98610004477312563</v>
      </c>
    </row>
    <row r="97" spans="1:14" s="38" customFormat="1" ht="15" hidden="1" outlineLevel="1" x14ac:dyDescent="0.25">
      <c r="A97" s="39" t="s">
        <v>79</v>
      </c>
      <c r="B97" s="26"/>
      <c r="C97" s="24"/>
      <c r="D97" s="24"/>
      <c r="E97" s="24"/>
      <c r="F97" s="35">
        <v>10000000</v>
      </c>
      <c r="G97" s="24"/>
      <c r="H97" s="26">
        <f>+B97+C97+D97+G97+E97+F97</f>
        <v>10000000</v>
      </c>
      <c r="I97" s="24"/>
      <c r="J97" s="35"/>
      <c r="K97" s="35">
        <f>+H97+I97+J97</f>
        <v>10000000</v>
      </c>
      <c r="L97" s="35">
        <v>10000000</v>
      </c>
      <c r="M97" s="26">
        <f>+L97-K97</f>
        <v>0</v>
      </c>
      <c r="N97" s="29">
        <f>+L97/K97</f>
        <v>1</v>
      </c>
    </row>
    <row r="98" spans="1:14" s="38" customFormat="1" ht="15" hidden="1" outlineLevel="1" x14ac:dyDescent="0.25">
      <c r="A98" s="39" t="s">
        <v>78</v>
      </c>
      <c r="B98" s="26"/>
      <c r="C98" s="24"/>
      <c r="D98" s="24"/>
      <c r="E98" s="24"/>
      <c r="F98" s="35">
        <v>54185610</v>
      </c>
      <c r="G98" s="24"/>
      <c r="H98" s="26">
        <f>+B98+C98+D98+G98+E98+F98</f>
        <v>54185610</v>
      </c>
      <c r="I98" s="24"/>
      <c r="J98" s="35"/>
      <c r="K98" s="35">
        <f>+H98+I98+J98</f>
        <v>54185610</v>
      </c>
      <c r="L98" s="35">
        <v>51615561</v>
      </c>
      <c r="M98" s="26">
        <f>+L98-K98</f>
        <v>-2570049</v>
      </c>
      <c r="N98" s="29">
        <f>+L98/K98</f>
        <v>0.95256952906869552</v>
      </c>
    </row>
    <row r="99" spans="1:14" s="38" customFormat="1" ht="15" hidden="1" outlineLevel="1" x14ac:dyDescent="0.25">
      <c r="A99" s="39" t="s">
        <v>77</v>
      </c>
      <c r="B99" s="26"/>
      <c r="C99" s="24"/>
      <c r="D99" s="24"/>
      <c r="E99" s="24"/>
      <c r="F99" s="35">
        <v>42119982</v>
      </c>
      <c r="G99" s="24"/>
      <c r="H99" s="26">
        <f>+B99+C99+D99+G99+E99+F99</f>
        <v>42119982</v>
      </c>
      <c r="I99" s="24"/>
      <c r="J99" s="35"/>
      <c r="K99" s="35">
        <f>+H99+I99+J99</f>
        <v>42119982</v>
      </c>
      <c r="L99" s="35">
        <v>42119932</v>
      </c>
      <c r="M99" s="26">
        <f>+L99-K99</f>
        <v>-50</v>
      </c>
      <c r="N99" s="29">
        <f>+L99/K99</f>
        <v>0.99999881291497228</v>
      </c>
    </row>
    <row r="100" spans="1:14" s="38" customFormat="1" ht="15" hidden="1" outlineLevel="1" x14ac:dyDescent="0.25">
      <c r="A100" s="39" t="s">
        <v>76</v>
      </c>
      <c r="B100" s="26"/>
      <c r="C100" s="24"/>
      <c r="D100" s="24"/>
      <c r="E100" s="24"/>
      <c r="F100" s="35">
        <v>45526361</v>
      </c>
      <c r="G100" s="24"/>
      <c r="H100" s="26">
        <f>+B100+C100+D100+G100+E100+F100</f>
        <v>45526361</v>
      </c>
      <c r="I100" s="24"/>
      <c r="J100" s="35"/>
      <c r="K100" s="35">
        <f>+H100+I100+J100</f>
        <v>45526361</v>
      </c>
      <c r="L100" s="35">
        <v>44945520</v>
      </c>
      <c r="M100" s="26">
        <f>+L100-K100</f>
        <v>-580841</v>
      </c>
      <c r="N100" s="29">
        <f>+L100/K100</f>
        <v>0.98724165544441389</v>
      </c>
    </row>
    <row r="101" spans="1:14" s="38" customFormat="1" ht="15" hidden="1" outlineLevel="1" x14ac:dyDescent="0.25">
      <c r="A101" s="39" t="s">
        <v>75</v>
      </c>
      <c r="B101" s="26"/>
      <c r="C101" s="24"/>
      <c r="D101" s="24"/>
      <c r="E101" s="24"/>
      <c r="F101" s="35">
        <v>14900000</v>
      </c>
      <c r="G101" s="24"/>
      <c r="H101" s="26">
        <f>+B101+C101+D101+G101+E101+F101</f>
        <v>14900000</v>
      </c>
      <c r="I101" s="24"/>
      <c r="J101" s="35"/>
      <c r="K101" s="35">
        <f>+H101+I101+J101</f>
        <v>14900000</v>
      </c>
      <c r="L101" s="35">
        <v>12269436</v>
      </c>
      <c r="M101" s="26">
        <f>+L101-K101</f>
        <v>-2630564</v>
      </c>
      <c r="N101" s="29">
        <f>+L101/K101</f>
        <v>0.82345208053691277</v>
      </c>
    </row>
    <row r="102" spans="1:14" s="38" customFormat="1" ht="15" collapsed="1" x14ac:dyDescent="0.25">
      <c r="A102" s="39"/>
      <c r="B102" s="26"/>
      <c r="C102" s="24"/>
      <c r="D102" s="24"/>
      <c r="E102" s="24"/>
      <c r="F102" s="35"/>
      <c r="G102" s="24"/>
      <c r="H102" s="26"/>
      <c r="I102" s="24"/>
      <c r="J102" s="24"/>
      <c r="K102" s="35"/>
      <c r="L102" s="35"/>
      <c r="M102" s="26"/>
      <c r="N102" s="22"/>
    </row>
    <row r="103" spans="1:14" s="38" customFormat="1" ht="15" x14ac:dyDescent="0.25">
      <c r="A103" s="40" t="s">
        <v>74</v>
      </c>
      <c r="B103" s="24"/>
      <c r="C103" s="24"/>
      <c r="D103" s="24"/>
      <c r="E103" s="24"/>
      <c r="F103" s="24"/>
      <c r="G103" s="24">
        <f>+G104+G111+G114+G117</f>
        <v>2951387712</v>
      </c>
      <c r="H103" s="24">
        <f>+H104+H111+H114+H117</f>
        <v>2951387712</v>
      </c>
      <c r="I103" s="24"/>
      <c r="J103" s="24">
        <f>+J104+J111+J114+J117</f>
        <v>0</v>
      </c>
      <c r="K103" s="24">
        <f>+K104+K111+K114+K117</f>
        <v>2951387712</v>
      </c>
      <c r="L103" s="24">
        <f>+L104+L111+L114+L117</f>
        <v>2522751705</v>
      </c>
      <c r="M103" s="23">
        <f>+L103-K103</f>
        <v>-428636007</v>
      </c>
      <c r="N103" s="22">
        <f>+L103/K103</f>
        <v>0.85476797736291454</v>
      </c>
    </row>
    <row r="104" spans="1:14" s="38" customFormat="1" ht="15" x14ac:dyDescent="0.25">
      <c r="A104" s="40" t="s">
        <v>73</v>
      </c>
      <c r="B104" s="24"/>
      <c r="C104" s="24"/>
      <c r="D104" s="24"/>
      <c r="E104" s="23"/>
      <c r="F104" s="24"/>
      <c r="G104" s="23">
        <f>SUM(G105:G110)</f>
        <v>2543458500</v>
      </c>
      <c r="H104" s="23">
        <f>SUM(H105:H110)</f>
        <v>2543458500</v>
      </c>
      <c r="I104" s="24"/>
      <c r="J104" s="23">
        <f>SUM(J105:J110)</f>
        <v>0</v>
      </c>
      <c r="K104" s="23">
        <f>SUM(K105:K110)</f>
        <v>2543458500</v>
      </c>
      <c r="L104" s="23">
        <f>SUM(L105:L110)</f>
        <v>2267967203</v>
      </c>
      <c r="M104" s="23">
        <f>+L104-K104</f>
        <v>-275491297</v>
      </c>
      <c r="N104" s="22">
        <f>+L104/K104</f>
        <v>0.89168634086225507</v>
      </c>
    </row>
    <row r="105" spans="1:14" s="38" customFormat="1" ht="15" hidden="1" outlineLevel="1" x14ac:dyDescent="0.25">
      <c r="A105" s="39" t="s">
        <v>72</v>
      </c>
      <c r="B105" s="24"/>
      <c r="C105" s="24"/>
      <c r="D105" s="24"/>
      <c r="E105" s="26"/>
      <c r="F105" s="24"/>
      <c r="G105" s="26">
        <f>89000000-12000000</f>
        <v>77000000</v>
      </c>
      <c r="H105" s="26">
        <f>+B105+C105+D105+G105+E105+F105</f>
        <v>77000000</v>
      </c>
      <c r="I105" s="24"/>
      <c r="J105" s="35"/>
      <c r="K105" s="35">
        <f>+H105+I105+J105</f>
        <v>77000000</v>
      </c>
      <c r="L105" s="35">
        <v>34932250</v>
      </c>
      <c r="M105" s="26">
        <f>+L105-K105</f>
        <v>-42067750</v>
      </c>
      <c r="N105" s="29">
        <f>+L105/K105</f>
        <v>0.45366558441558441</v>
      </c>
    </row>
    <row r="106" spans="1:14" s="38" customFormat="1" ht="15" hidden="1" outlineLevel="1" x14ac:dyDescent="0.25">
      <c r="A106" s="39" t="s">
        <v>71</v>
      </c>
      <c r="B106" s="24"/>
      <c r="C106" s="24"/>
      <c r="D106" s="24"/>
      <c r="E106" s="26"/>
      <c r="F106" s="24"/>
      <c r="G106" s="26">
        <f>183300000-70000000</f>
        <v>113300000</v>
      </c>
      <c r="H106" s="26">
        <f>+B106+C106+D106+G106+E106+F106</f>
        <v>113300000</v>
      </c>
      <c r="I106" s="24"/>
      <c r="J106" s="35"/>
      <c r="K106" s="35">
        <f>+H106+I106+J106</f>
        <v>113300000</v>
      </c>
      <c r="L106" s="35">
        <v>92838247</v>
      </c>
      <c r="M106" s="26">
        <f>+L106-K106</f>
        <v>-20461753</v>
      </c>
      <c r="N106" s="29">
        <f>+L106/K106</f>
        <v>0.81940200353045012</v>
      </c>
    </row>
    <row r="107" spans="1:14" s="38" customFormat="1" ht="15" hidden="1" outlineLevel="1" x14ac:dyDescent="0.25">
      <c r="A107" s="39" t="s">
        <v>70</v>
      </c>
      <c r="B107" s="24"/>
      <c r="C107" s="24"/>
      <c r="D107" s="24"/>
      <c r="E107" s="26"/>
      <c r="F107" s="24"/>
      <c r="G107" s="26">
        <v>106700000</v>
      </c>
      <c r="H107" s="26">
        <f>+B107+C107+D107+G107+E107+F107</f>
        <v>106700000</v>
      </c>
      <c r="I107" s="24"/>
      <c r="J107" s="35"/>
      <c r="K107" s="35">
        <f>+H107+I107+J107</f>
        <v>106700000</v>
      </c>
      <c r="L107" s="35">
        <v>57283700</v>
      </c>
      <c r="M107" s="26">
        <f>+L107-K107</f>
        <v>-49416300</v>
      </c>
      <c r="N107" s="29">
        <f>+L107/K107</f>
        <v>0.53686691658856611</v>
      </c>
    </row>
    <row r="108" spans="1:14" s="38" customFormat="1" ht="15" hidden="1" outlineLevel="1" x14ac:dyDescent="0.25">
      <c r="A108" s="39" t="s">
        <v>69</v>
      </c>
      <c r="B108" s="24"/>
      <c r="C108" s="24"/>
      <c r="D108" s="24"/>
      <c r="E108" s="26"/>
      <c r="F108" s="24"/>
      <c r="G108" s="26">
        <v>70000000</v>
      </c>
      <c r="H108" s="26">
        <f>+B108+C108+D108+G108+E108+F108</f>
        <v>70000000</v>
      </c>
      <c r="I108" s="24"/>
      <c r="J108" s="35"/>
      <c r="K108" s="35">
        <f>+H108+I108+J108</f>
        <v>70000000</v>
      </c>
      <c r="L108" s="35">
        <v>59057967</v>
      </c>
      <c r="M108" s="26">
        <f>+L108-K108</f>
        <v>-10942033</v>
      </c>
      <c r="N108" s="29">
        <f>+L108/K108</f>
        <v>0.84368524285714286</v>
      </c>
    </row>
    <row r="109" spans="1:14" s="38" customFormat="1" ht="15" hidden="1" outlineLevel="1" x14ac:dyDescent="0.25">
      <c r="A109" s="39" t="s">
        <v>68</v>
      </c>
      <c r="B109" s="24"/>
      <c r="C109" s="24"/>
      <c r="D109" s="24"/>
      <c r="E109" s="26"/>
      <c r="F109" s="24"/>
      <c r="G109" s="26">
        <v>2163531815</v>
      </c>
      <c r="H109" s="26">
        <f>+B109+C109+D109+G109+E109+F109</f>
        <v>2163531815</v>
      </c>
      <c r="I109" s="24"/>
      <c r="J109" s="35"/>
      <c r="K109" s="35">
        <f>+H109+I109+J109</f>
        <v>2163531815</v>
      </c>
      <c r="L109" s="35">
        <v>2015115402</v>
      </c>
      <c r="M109" s="26">
        <f>+L109-K109</f>
        <v>-148416413</v>
      </c>
      <c r="N109" s="29">
        <f>+L109/K109</f>
        <v>0.93140086410053557</v>
      </c>
    </row>
    <row r="110" spans="1:14" s="38" customFormat="1" ht="15" hidden="1" outlineLevel="1" x14ac:dyDescent="0.25">
      <c r="A110" s="39" t="s">
        <v>67</v>
      </c>
      <c r="B110" s="24"/>
      <c r="C110" s="24"/>
      <c r="D110" s="24"/>
      <c r="E110" s="26"/>
      <c r="F110" s="24"/>
      <c r="G110" s="26">
        <f>926685+12000000</f>
        <v>12926685</v>
      </c>
      <c r="H110" s="26">
        <f>+B110+C110+D110+G110+E110+F110</f>
        <v>12926685</v>
      </c>
      <c r="I110" s="24"/>
      <c r="J110" s="35"/>
      <c r="K110" s="35">
        <f>+H110+I110+J110</f>
        <v>12926685</v>
      </c>
      <c r="L110" s="35">
        <v>8739637</v>
      </c>
      <c r="M110" s="26">
        <f>+L110-K110</f>
        <v>-4187048</v>
      </c>
      <c r="N110" s="29">
        <f>+L110/K110</f>
        <v>0.67609267186444166</v>
      </c>
    </row>
    <row r="111" spans="1:14" s="38" customFormat="1" ht="15" collapsed="1" x14ac:dyDescent="0.25">
      <c r="A111" s="40" t="s">
        <v>66</v>
      </c>
      <c r="B111" s="24"/>
      <c r="C111" s="24"/>
      <c r="D111" s="24"/>
      <c r="E111" s="23"/>
      <c r="F111" s="24"/>
      <c r="G111" s="23">
        <f>SUM(G112:G113)</f>
        <v>146746084</v>
      </c>
      <c r="H111" s="23">
        <f>SUM(H112:H113)</f>
        <v>146746084</v>
      </c>
      <c r="I111" s="24"/>
      <c r="J111" s="23">
        <f>SUM(J112:J113)</f>
        <v>0</v>
      </c>
      <c r="K111" s="23">
        <f>SUM(K112:K113)</f>
        <v>146746084</v>
      </c>
      <c r="L111" s="23">
        <f>SUM(L112:L113)</f>
        <v>109817455</v>
      </c>
      <c r="M111" s="23">
        <f>+L111-K111</f>
        <v>-36928629</v>
      </c>
      <c r="N111" s="22">
        <f>+L111/K111</f>
        <v>0.74835015699635299</v>
      </c>
    </row>
    <row r="112" spans="1:14" s="38" customFormat="1" ht="15" hidden="1" outlineLevel="1" x14ac:dyDescent="0.25">
      <c r="A112" s="39" t="s">
        <v>65</v>
      </c>
      <c r="B112" s="24"/>
      <c r="C112" s="24"/>
      <c r="D112" s="24"/>
      <c r="E112" s="26"/>
      <c r="F112" s="24"/>
      <c r="G112" s="26">
        <v>28000000</v>
      </c>
      <c r="H112" s="26">
        <f>+B112+C112+D112+G112+E112+F112</f>
        <v>28000000</v>
      </c>
      <c r="I112" s="24"/>
      <c r="J112" s="26"/>
      <c r="K112" s="35">
        <f>+H112+I112+J112</f>
        <v>28000000</v>
      </c>
      <c r="L112" s="35">
        <v>7936430</v>
      </c>
      <c r="M112" s="26">
        <f>+L112-K112</f>
        <v>-20063570</v>
      </c>
      <c r="N112" s="29">
        <f>+L112/K112</f>
        <v>0.28344392857142858</v>
      </c>
    </row>
    <row r="113" spans="1:14" s="38" customFormat="1" ht="15" hidden="1" outlineLevel="1" x14ac:dyDescent="0.25">
      <c r="A113" s="39" t="s">
        <v>64</v>
      </c>
      <c r="B113" s="24"/>
      <c r="C113" s="24"/>
      <c r="D113" s="24"/>
      <c r="E113" s="26"/>
      <c r="F113" s="24"/>
      <c r="G113" s="26">
        <v>118746084</v>
      </c>
      <c r="H113" s="26">
        <f>+B113+C113+D113+G113+E113+F113</f>
        <v>118746084</v>
      </c>
      <c r="I113" s="24"/>
      <c r="J113" s="26"/>
      <c r="K113" s="35">
        <f>+H113+I113+J113</f>
        <v>118746084</v>
      </c>
      <c r="L113" s="35">
        <v>101881025</v>
      </c>
      <c r="M113" s="26">
        <f>+L113-K113</f>
        <v>-16865059</v>
      </c>
      <c r="N113" s="29">
        <f>+L113/K113</f>
        <v>0.85797376694965366</v>
      </c>
    </row>
    <row r="114" spans="1:14" s="38" customFormat="1" ht="15" collapsed="1" x14ac:dyDescent="0.25">
      <c r="A114" s="40" t="s">
        <v>63</v>
      </c>
      <c r="B114" s="24"/>
      <c r="C114" s="24"/>
      <c r="D114" s="24"/>
      <c r="E114" s="23"/>
      <c r="F114" s="24"/>
      <c r="G114" s="23">
        <f>SUM(G115:G116)</f>
        <v>261183128</v>
      </c>
      <c r="H114" s="23">
        <f>SUM(H115:H116)</f>
        <v>261183128</v>
      </c>
      <c r="I114" s="24"/>
      <c r="J114" s="23">
        <f>SUM(J115:J116)</f>
        <v>0</v>
      </c>
      <c r="K114" s="23">
        <f>SUM(K115:K116)</f>
        <v>261183128</v>
      </c>
      <c r="L114" s="23">
        <f>SUM(L115:L116)</f>
        <v>144967047</v>
      </c>
      <c r="M114" s="23">
        <f>+L114-K114</f>
        <v>-116216081</v>
      </c>
      <c r="N114" s="22">
        <f>+L114/K114</f>
        <v>0.55503986076772927</v>
      </c>
    </row>
    <row r="115" spans="1:14" s="38" customFormat="1" ht="15" hidden="1" outlineLevel="1" x14ac:dyDescent="0.25">
      <c r="A115" s="39" t="str">
        <f>+'[4]Presupuesto 2017 vs 2018'!$B$37</f>
        <v>Diagnóstico Rutinario</v>
      </c>
      <c r="B115" s="24"/>
      <c r="C115" s="24"/>
      <c r="D115" s="24"/>
      <c r="E115" s="26"/>
      <c r="F115" s="24"/>
      <c r="G115" s="26">
        <v>170000000</v>
      </c>
      <c r="H115" s="26">
        <f>+B115+C115+D115+G115+E115+F115</f>
        <v>170000000</v>
      </c>
      <c r="I115" s="24"/>
      <c r="J115" s="26"/>
      <c r="K115" s="35">
        <f>+H115+I115+J115</f>
        <v>170000000</v>
      </c>
      <c r="L115" s="35">
        <v>91419967</v>
      </c>
      <c r="M115" s="26">
        <f>+L115-K115</f>
        <v>-78580033</v>
      </c>
      <c r="N115" s="29">
        <f>+L115/K115</f>
        <v>0.53776451176470585</v>
      </c>
    </row>
    <row r="116" spans="1:14" s="38" customFormat="1" ht="15" hidden="1" outlineLevel="1" x14ac:dyDescent="0.25">
      <c r="A116" s="39" t="s">
        <v>62</v>
      </c>
      <c r="B116" s="24"/>
      <c r="C116" s="24"/>
      <c r="D116" s="24"/>
      <c r="E116" s="26"/>
      <c r="F116" s="24"/>
      <c r="G116" s="26">
        <v>91183128</v>
      </c>
      <c r="H116" s="26">
        <f>+B116+C116+D116+G116+E116+F116</f>
        <v>91183128</v>
      </c>
      <c r="I116" s="24"/>
      <c r="J116" s="26"/>
      <c r="K116" s="35">
        <f>+H116+I116+J116</f>
        <v>91183128</v>
      </c>
      <c r="L116" s="35">
        <v>53547080</v>
      </c>
      <c r="M116" s="26">
        <f>+L116-K116</f>
        <v>-37636048</v>
      </c>
      <c r="N116" s="29">
        <f>+L116/K116</f>
        <v>0.58724767590776228</v>
      </c>
    </row>
    <row r="117" spans="1:14" s="38" customFormat="1" ht="15" collapsed="1" x14ac:dyDescent="0.25">
      <c r="A117" s="40" t="s">
        <v>61</v>
      </c>
      <c r="B117" s="24"/>
      <c r="C117" s="24"/>
      <c r="D117" s="24"/>
      <c r="E117" s="23"/>
      <c r="F117" s="24"/>
      <c r="G117" s="23">
        <f>SUM(G118:G119)</f>
        <v>0</v>
      </c>
      <c r="H117" s="23">
        <f>SUM(H118:H119)</f>
        <v>0</v>
      </c>
      <c r="I117" s="23"/>
      <c r="J117" s="23">
        <f>SUM(J118:J119)</f>
        <v>0</v>
      </c>
      <c r="K117" s="23">
        <f>SUM(K118:K119)</f>
        <v>0</v>
      </c>
      <c r="L117" s="23">
        <f>SUM(L118:L119)</f>
        <v>0</v>
      </c>
      <c r="M117" s="23">
        <f>+L117-K117</f>
        <v>0</v>
      </c>
      <c r="N117" s="22">
        <v>0</v>
      </c>
    </row>
    <row r="118" spans="1:14" s="38" customFormat="1" ht="15" hidden="1" outlineLevel="1" x14ac:dyDescent="0.25">
      <c r="A118" s="39" t="s">
        <v>60</v>
      </c>
      <c r="B118" s="24"/>
      <c r="C118" s="24"/>
      <c r="D118" s="24"/>
      <c r="E118" s="26"/>
      <c r="F118" s="24"/>
      <c r="G118" s="26">
        <v>0</v>
      </c>
      <c r="H118" s="26">
        <f>+B118+C118+D118+G118+E118+F118</f>
        <v>0</v>
      </c>
      <c r="I118" s="24"/>
      <c r="J118" s="26">
        <v>0</v>
      </c>
      <c r="K118" s="35">
        <f>+H118+I118</f>
        <v>0</v>
      </c>
      <c r="L118" s="35"/>
      <c r="M118" s="26">
        <f>+L118-K118</f>
        <v>0</v>
      </c>
      <c r="N118" s="29">
        <v>0</v>
      </c>
    </row>
    <row r="119" spans="1:14" s="38" customFormat="1" ht="15" hidden="1" outlineLevel="1" x14ac:dyDescent="0.25">
      <c r="A119" s="39" t="s">
        <v>59</v>
      </c>
      <c r="B119" s="24"/>
      <c r="C119" s="24"/>
      <c r="D119" s="24"/>
      <c r="E119" s="26"/>
      <c r="F119" s="24"/>
      <c r="G119" s="26">
        <v>0</v>
      </c>
      <c r="H119" s="26">
        <f>+B119+C119+D119+G119+E119+F119</f>
        <v>0</v>
      </c>
      <c r="I119" s="24"/>
      <c r="J119" s="26">
        <v>0</v>
      </c>
      <c r="K119" s="35">
        <f>+H119+I119</f>
        <v>0</v>
      </c>
      <c r="L119" s="35"/>
      <c r="M119" s="26">
        <f>+L119-K119</f>
        <v>0</v>
      </c>
      <c r="N119" s="29">
        <v>0</v>
      </c>
    </row>
    <row r="120" spans="1:14" s="38" customFormat="1" ht="15" collapsed="1" x14ac:dyDescent="0.25">
      <c r="A120" s="39"/>
      <c r="B120" s="24"/>
      <c r="C120" s="24"/>
      <c r="D120" s="24"/>
      <c r="E120" s="35"/>
      <c r="F120" s="24"/>
      <c r="G120" s="35"/>
      <c r="H120" s="26"/>
      <c r="I120" s="24"/>
      <c r="J120" s="24"/>
      <c r="K120" s="35"/>
      <c r="L120" s="35"/>
      <c r="M120" s="26"/>
      <c r="N120" s="22"/>
    </row>
    <row r="121" spans="1:14" s="46" customFormat="1" ht="15" x14ac:dyDescent="0.25">
      <c r="A121" s="40" t="s">
        <v>58</v>
      </c>
      <c r="B121" s="44"/>
      <c r="C121" s="23">
        <f>+C122+C128+C131+C134</f>
        <v>1018078406</v>
      </c>
      <c r="D121" s="44"/>
      <c r="E121" s="47"/>
      <c r="F121" s="44"/>
      <c r="G121" s="47"/>
      <c r="H121" s="23">
        <f>+H122+H128+H131+H134</f>
        <v>1018078406</v>
      </c>
      <c r="I121" s="44"/>
      <c r="J121" s="23">
        <f>+J122+J128+J131+J134</f>
        <v>0</v>
      </c>
      <c r="K121" s="23">
        <f>+H121+I121</f>
        <v>1018078406</v>
      </c>
      <c r="L121" s="23">
        <f>+L122+L128+L131+L134</f>
        <v>885217693</v>
      </c>
      <c r="M121" s="23">
        <f>+L121-K121</f>
        <v>-132860713</v>
      </c>
      <c r="N121" s="22">
        <f>+L121/K121</f>
        <v>0.86949854528198289</v>
      </c>
    </row>
    <row r="122" spans="1:14" s="38" customFormat="1" ht="15" x14ac:dyDescent="0.25">
      <c r="A122" s="40" t="s">
        <v>57</v>
      </c>
      <c r="B122" s="44"/>
      <c r="C122" s="24">
        <f>SUM(C123:C127)</f>
        <v>313826699</v>
      </c>
      <c r="D122" s="24"/>
      <c r="E122" s="24"/>
      <c r="F122" s="24"/>
      <c r="G122" s="24"/>
      <c r="H122" s="24">
        <f>+B122+C122+D122+G122+E122+F122</f>
        <v>313826699</v>
      </c>
      <c r="I122" s="23"/>
      <c r="J122" s="24">
        <f>SUM(J123:J127)</f>
        <v>0</v>
      </c>
      <c r="K122" s="24">
        <f>SUM(K123:K127)</f>
        <v>313826699</v>
      </c>
      <c r="L122" s="24">
        <f>SUM(L123:L127)</f>
        <v>201954058</v>
      </c>
      <c r="M122" s="23">
        <f>+L122-K122</f>
        <v>-111872641</v>
      </c>
      <c r="N122" s="22">
        <f>+L122/K122</f>
        <v>0.64352095804315235</v>
      </c>
    </row>
    <row r="123" spans="1:14" s="38" customFormat="1" ht="15" hidden="1" outlineLevel="1" x14ac:dyDescent="0.25">
      <c r="A123" s="39" t="s">
        <v>56</v>
      </c>
      <c r="B123" s="44"/>
      <c r="C123" s="35">
        <v>100716030</v>
      </c>
      <c r="D123" s="24"/>
      <c r="E123" s="24"/>
      <c r="F123" s="24"/>
      <c r="G123" s="24"/>
      <c r="H123" s="35">
        <f>+B123+C123+D123+G123+E123+F123</f>
        <v>100716030</v>
      </c>
      <c r="I123" s="23"/>
      <c r="J123" s="35"/>
      <c r="K123" s="35">
        <f>+H123+I123+J123</f>
        <v>100716030</v>
      </c>
      <c r="L123" s="35">
        <v>75496190</v>
      </c>
      <c r="M123" s="26">
        <f>+L123-K123</f>
        <v>-25219840</v>
      </c>
      <c r="N123" s="29">
        <f>+L123/K123</f>
        <v>0.74959457794355078</v>
      </c>
    </row>
    <row r="124" spans="1:14" s="38" customFormat="1" ht="15" hidden="1" outlineLevel="1" x14ac:dyDescent="0.25">
      <c r="A124" s="39" t="s">
        <v>55</v>
      </c>
      <c r="B124" s="44"/>
      <c r="C124" s="35">
        <v>40250000</v>
      </c>
      <c r="D124" s="24"/>
      <c r="E124" s="24"/>
      <c r="F124" s="24"/>
      <c r="G124" s="24"/>
      <c r="H124" s="35">
        <f>+B124+C124+D124+G124+E124+F124</f>
        <v>40250000</v>
      </c>
      <c r="I124" s="23"/>
      <c r="J124" s="35"/>
      <c r="K124" s="35">
        <f>+H124+I124+J124</f>
        <v>40250000</v>
      </c>
      <c r="L124" s="35">
        <v>25841708</v>
      </c>
      <c r="M124" s="26">
        <f>+L124-K124</f>
        <v>-14408292</v>
      </c>
      <c r="N124" s="29">
        <f>+L124/K124</f>
        <v>0.64203001242236024</v>
      </c>
    </row>
    <row r="125" spans="1:14" s="38" customFormat="1" ht="15" hidden="1" outlineLevel="1" x14ac:dyDescent="0.25">
      <c r="A125" s="39" t="s">
        <v>54</v>
      </c>
      <c r="B125" s="44"/>
      <c r="C125" s="35">
        <v>64430390</v>
      </c>
      <c r="D125" s="24"/>
      <c r="E125" s="24"/>
      <c r="F125" s="24"/>
      <c r="G125" s="24"/>
      <c r="H125" s="35">
        <f>+B125+C125+D125+G125+E125+F125</f>
        <v>64430390</v>
      </c>
      <c r="I125" s="23"/>
      <c r="J125" s="35"/>
      <c r="K125" s="35">
        <f>+H125+I125+J125</f>
        <v>64430390</v>
      </c>
      <c r="L125" s="35">
        <v>61721786</v>
      </c>
      <c r="M125" s="26">
        <f>+L125-K125</f>
        <v>-2708604</v>
      </c>
      <c r="N125" s="29">
        <f>+L125/K125</f>
        <v>0.9579607697547694</v>
      </c>
    </row>
    <row r="126" spans="1:14" s="38" customFormat="1" ht="15" hidden="1" outlineLevel="2" x14ac:dyDescent="0.25">
      <c r="A126" s="39" t="str">
        <f>+'[1]Presupuesto 2018 vs 2017'!$B$16</f>
        <v>Control y monitoreo de PRRS</v>
      </c>
      <c r="B126" s="24"/>
      <c r="C126" s="35">
        <v>88420773</v>
      </c>
      <c r="D126" s="24"/>
      <c r="F126" s="24"/>
      <c r="G126" s="24"/>
      <c r="H126" s="35">
        <f>+B126+C126+D126+G126+E126+F126</f>
        <v>88420773</v>
      </c>
      <c r="I126" s="24"/>
      <c r="J126" s="35"/>
      <c r="K126" s="35">
        <f>+H126+I126+J126</f>
        <v>88420773</v>
      </c>
      <c r="L126" s="35">
        <v>19170900</v>
      </c>
      <c r="M126" s="26">
        <f>+L126-K126</f>
        <v>-69249873</v>
      </c>
      <c r="N126" s="29">
        <f>+L126/K126</f>
        <v>0.21681443567565281</v>
      </c>
    </row>
    <row r="127" spans="1:14" s="38" customFormat="1" ht="15" hidden="1" outlineLevel="2" x14ac:dyDescent="0.25">
      <c r="A127" s="39" t="str">
        <f>+'[1]Presupuesto 2018 vs 2017'!$B$19</f>
        <v>Divulgación sanitaria</v>
      </c>
      <c r="B127" s="24"/>
      <c r="C127" s="35">
        <v>20009506</v>
      </c>
      <c r="D127" s="24"/>
      <c r="F127" s="24"/>
      <c r="G127" s="24"/>
      <c r="H127" s="35">
        <f>+B127+C127+D127+G127+E127+F127</f>
        <v>20009506</v>
      </c>
      <c r="I127" s="24"/>
      <c r="J127" s="35"/>
      <c r="K127" s="35">
        <f>+H127+I127+J127</f>
        <v>20009506</v>
      </c>
      <c r="L127" s="35">
        <v>19723474</v>
      </c>
      <c r="M127" s="26">
        <f>+L127-K127</f>
        <v>-286032</v>
      </c>
      <c r="N127" s="29">
        <f>+L127/K127</f>
        <v>0.98570519432113912</v>
      </c>
    </row>
    <row r="128" spans="1:14" s="38" customFormat="1" ht="15" collapsed="1" x14ac:dyDescent="0.25">
      <c r="A128" s="40" t="s">
        <v>53</v>
      </c>
      <c r="B128" s="44"/>
      <c r="C128" s="24">
        <f>SUM(C129:C130)</f>
        <v>208117363</v>
      </c>
      <c r="D128" s="24"/>
      <c r="E128" s="24"/>
      <c r="F128" s="24"/>
      <c r="G128" s="24"/>
      <c r="H128" s="23">
        <f>+B128+C128+D128+G128+E128+F128</f>
        <v>208117363</v>
      </c>
      <c r="I128" s="23"/>
      <c r="J128" s="24">
        <f>SUM(J129:J130)</f>
        <v>0</v>
      </c>
      <c r="K128" s="24">
        <f>SUM(K129:K130)</f>
        <v>208117363</v>
      </c>
      <c r="L128" s="24">
        <f>SUM(L129:L130)</f>
        <v>200120637</v>
      </c>
      <c r="M128" s="23">
        <f>+L128-K128</f>
        <v>-7996726</v>
      </c>
      <c r="N128" s="22">
        <f>+L128/K128</f>
        <v>0.96157588254661863</v>
      </c>
    </row>
    <row r="129" spans="1:14" s="38" customFormat="1" ht="15" hidden="1" outlineLevel="1" x14ac:dyDescent="0.25">
      <c r="A129" s="39" t="s">
        <v>52</v>
      </c>
      <c r="B129" s="44"/>
      <c r="C129" s="35">
        <v>153009083</v>
      </c>
      <c r="D129" s="24"/>
      <c r="E129" s="24"/>
      <c r="F129" s="24"/>
      <c r="G129" s="24"/>
      <c r="H129" s="35">
        <f>+B129+C129+D129+G129+E129+F129</f>
        <v>153009083</v>
      </c>
      <c r="I129" s="23"/>
      <c r="J129" s="35"/>
      <c r="K129" s="35">
        <f>+H129+I129+J129</f>
        <v>153009083</v>
      </c>
      <c r="L129" s="35">
        <v>150378747</v>
      </c>
      <c r="M129" s="26">
        <f>+L129-K129</f>
        <v>-2630336</v>
      </c>
      <c r="N129" s="29">
        <f>+L129/K129</f>
        <v>0.982809281982299</v>
      </c>
    </row>
    <row r="130" spans="1:14" s="38" customFormat="1" ht="15" hidden="1" outlineLevel="1" x14ac:dyDescent="0.25">
      <c r="A130" s="39" t="s">
        <v>51</v>
      </c>
      <c r="B130" s="44"/>
      <c r="C130" s="35">
        <v>55108280</v>
      </c>
      <c r="D130" s="24"/>
      <c r="E130" s="24"/>
      <c r="F130" s="24"/>
      <c r="G130" s="24"/>
      <c r="H130" s="35">
        <f>+B130+C130+D130+G130+E130+F130</f>
        <v>55108280</v>
      </c>
      <c r="I130" s="23"/>
      <c r="J130" s="35"/>
      <c r="K130" s="35">
        <f>+H130+I130+J130</f>
        <v>55108280</v>
      </c>
      <c r="L130" s="35">
        <v>49741890</v>
      </c>
      <c r="M130" s="26">
        <f>+L130-K130</f>
        <v>-5366390</v>
      </c>
      <c r="N130" s="29">
        <f>+L130/K130</f>
        <v>0.90262098544901059</v>
      </c>
    </row>
    <row r="131" spans="1:14" s="38" customFormat="1" ht="15" collapsed="1" x14ac:dyDescent="0.25">
      <c r="A131" s="40" t="s">
        <v>50</v>
      </c>
      <c r="B131" s="44"/>
      <c r="C131" s="24">
        <f>SUM(C132:C133)</f>
        <v>73981707</v>
      </c>
      <c r="D131" s="24"/>
      <c r="E131" s="24"/>
      <c r="F131" s="24"/>
      <c r="G131" s="24"/>
      <c r="H131" s="23">
        <f>+B131+C131+D131+G131+E131+F131</f>
        <v>73981707</v>
      </c>
      <c r="I131" s="23"/>
      <c r="J131" s="24">
        <f>SUM(J132:J133)</f>
        <v>0</v>
      </c>
      <c r="K131" s="24">
        <f>SUM(K132:K133)</f>
        <v>73981707</v>
      </c>
      <c r="L131" s="24">
        <f>SUM(L132:L133)</f>
        <v>71491863</v>
      </c>
      <c r="M131" s="23">
        <f>+L131-K131</f>
        <v>-2489844</v>
      </c>
      <c r="N131" s="22">
        <f>+L131/K131</f>
        <v>0.96634513988708048</v>
      </c>
    </row>
    <row r="132" spans="1:14" s="38" customFormat="1" ht="15" hidden="1" outlineLevel="1" x14ac:dyDescent="0.25">
      <c r="A132" s="39" t="s">
        <v>49</v>
      </c>
      <c r="B132" s="44"/>
      <c r="C132" s="35">
        <v>19019918</v>
      </c>
      <c r="D132" s="24"/>
      <c r="E132" s="24"/>
      <c r="F132" s="24"/>
      <c r="G132" s="24"/>
      <c r="H132" s="35">
        <f>+B132+C132+D132+G132+E132+F132</f>
        <v>19019918</v>
      </c>
      <c r="I132" s="23"/>
      <c r="J132" s="35"/>
      <c r="K132" s="35">
        <f>+H132+I132+J132</f>
        <v>19019918</v>
      </c>
      <c r="L132" s="35">
        <v>17780320</v>
      </c>
      <c r="M132" s="26">
        <f>+L132-K132</f>
        <v>-1239598</v>
      </c>
      <c r="N132" s="29">
        <f>+L132/K132</f>
        <v>0.93482632259508169</v>
      </c>
    </row>
    <row r="133" spans="1:14" s="38" customFormat="1" ht="15" hidden="1" outlineLevel="1" x14ac:dyDescent="0.25">
      <c r="A133" s="39" t="s">
        <v>48</v>
      </c>
      <c r="B133" s="44"/>
      <c r="C133" s="35">
        <v>54961789</v>
      </c>
      <c r="D133" s="24"/>
      <c r="E133" s="24"/>
      <c r="F133" s="24"/>
      <c r="G133" s="24"/>
      <c r="H133" s="35">
        <f>+B133+C133+D133+G133+E133+F133</f>
        <v>54961789</v>
      </c>
      <c r="I133" s="23"/>
      <c r="J133" s="35"/>
      <c r="K133" s="35">
        <f>+H133+I133+J133</f>
        <v>54961789</v>
      </c>
      <c r="L133" s="35">
        <v>53711543</v>
      </c>
      <c r="M133" s="26">
        <f>+L133-K133</f>
        <v>-1250246</v>
      </c>
      <c r="N133" s="29">
        <f>+L133/K133</f>
        <v>0.97725245078903822</v>
      </c>
    </row>
    <row r="134" spans="1:14" s="38" customFormat="1" ht="15" collapsed="1" x14ac:dyDescent="0.25">
      <c r="A134" s="40" t="s">
        <v>47</v>
      </c>
      <c r="B134" s="44"/>
      <c r="C134" s="23">
        <f>+C135+C136+C137+C147</f>
        <v>422152637</v>
      </c>
      <c r="D134" s="24"/>
      <c r="E134" s="24"/>
      <c r="F134" s="24"/>
      <c r="G134" s="24"/>
      <c r="H134" s="23">
        <f>+H135+H136+H137+H147</f>
        <v>422152637</v>
      </c>
      <c r="I134" s="24"/>
      <c r="J134" s="23">
        <f>+J135+J136+J137+J147</f>
        <v>0</v>
      </c>
      <c r="K134" s="23">
        <f>+K135+K137+K147+K136</f>
        <v>422152637</v>
      </c>
      <c r="L134" s="23">
        <f>+L135+L136+L137+L147</f>
        <v>411651135</v>
      </c>
      <c r="M134" s="23">
        <f>+L134-K134</f>
        <v>-10501502</v>
      </c>
      <c r="N134" s="22">
        <f>+L134/K134</f>
        <v>0.97512392182451302</v>
      </c>
    </row>
    <row r="135" spans="1:14" s="38" customFormat="1" ht="15" hidden="1" outlineLevel="1" x14ac:dyDescent="0.25">
      <c r="A135" s="39" t="s">
        <v>46</v>
      </c>
      <c r="B135" s="44"/>
      <c r="C135" s="26">
        <f>65749905+23573093</f>
        <v>89322998</v>
      </c>
      <c r="D135" s="24"/>
      <c r="E135" s="24"/>
      <c r="F135" s="24"/>
      <c r="G135" s="24"/>
      <c r="H135" s="35">
        <f>+B135+C135+D135+G135+E135+F135</f>
        <v>89322998</v>
      </c>
      <c r="I135" s="24"/>
      <c r="J135" s="26"/>
      <c r="K135" s="35">
        <f>+H135+I135+J135</f>
        <v>89322998</v>
      </c>
      <c r="L135" s="26">
        <v>87661449</v>
      </c>
      <c r="M135" s="26">
        <f>+L135-K135</f>
        <v>-1661549</v>
      </c>
      <c r="N135" s="29">
        <f>+L135/K135</f>
        <v>0.98139841880363221</v>
      </c>
    </row>
    <row r="136" spans="1:14" s="38" customFormat="1" ht="15" hidden="1" outlineLevel="1" x14ac:dyDescent="0.25">
      <c r="A136" s="39" t="s">
        <v>45</v>
      </c>
      <c r="B136" s="44"/>
      <c r="C136" s="26">
        <v>42751449</v>
      </c>
      <c r="D136" s="24"/>
      <c r="E136" s="24"/>
      <c r="F136" s="24"/>
      <c r="G136" s="24"/>
      <c r="H136" s="35">
        <f>+B136+C136+D136+G136+E136+F136</f>
        <v>42751449</v>
      </c>
      <c r="I136" s="24"/>
      <c r="J136" s="26"/>
      <c r="K136" s="35">
        <f>+H136+I136+J136</f>
        <v>42751449</v>
      </c>
      <c r="L136" s="26">
        <v>40586019</v>
      </c>
      <c r="M136" s="26">
        <f>+L136-K136</f>
        <v>-2165430</v>
      </c>
      <c r="N136" s="29">
        <f>+L136/K136</f>
        <v>0.94934838348987893</v>
      </c>
    </row>
    <row r="137" spans="1:14" s="38" customFormat="1" ht="15" hidden="1" outlineLevel="1" x14ac:dyDescent="0.25">
      <c r="A137" s="39" t="s">
        <v>44</v>
      </c>
      <c r="B137" s="44"/>
      <c r="C137" s="23">
        <f>+C138+C141</f>
        <v>168938594</v>
      </c>
      <c r="D137" s="24"/>
      <c r="E137" s="24"/>
      <c r="F137" s="24"/>
      <c r="G137" s="24"/>
      <c r="H137" s="23">
        <f>+H138+H141</f>
        <v>168938594</v>
      </c>
      <c r="I137" s="23"/>
      <c r="J137" s="23">
        <f>+J138+J141</f>
        <v>0</v>
      </c>
      <c r="K137" s="23">
        <f>+H137+I137</f>
        <v>168938594</v>
      </c>
      <c r="L137" s="23">
        <f>+L138+L141</f>
        <v>163934599</v>
      </c>
      <c r="M137" s="26">
        <f>+L137-K137</f>
        <v>-5003995</v>
      </c>
      <c r="N137" s="29">
        <f>+L137/K137</f>
        <v>0.97037979965667287</v>
      </c>
    </row>
    <row r="138" spans="1:14" s="38" customFormat="1" ht="15" hidden="1" outlineLevel="2" x14ac:dyDescent="0.25">
      <c r="A138" s="40" t="s">
        <v>43</v>
      </c>
      <c r="B138" s="44"/>
      <c r="C138" s="23">
        <f>SUM(C139:C140)</f>
        <v>83621927</v>
      </c>
      <c r="D138" s="24"/>
      <c r="E138" s="24"/>
      <c r="F138" s="24"/>
      <c r="G138" s="24"/>
      <c r="H138" s="23">
        <f>SUM(H139:H140)</f>
        <v>83621927</v>
      </c>
      <c r="I138" s="23"/>
      <c r="J138" s="23">
        <f>SUM(J139:J140)</f>
        <v>0</v>
      </c>
      <c r="K138" s="23">
        <f>+H138+I138</f>
        <v>83621927</v>
      </c>
      <c r="L138" s="23">
        <f>SUM(L139:L140)</f>
        <v>82701264</v>
      </c>
      <c r="M138" s="26">
        <f>+L138-K138</f>
        <v>-920663</v>
      </c>
      <c r="N138" s="29">
        <f>+L138/K138</f>
        <v>0.98899017239820364</v>
      </c>
    </row>
    <row r="139" spans="1:14" s="38" customFormat="1" ht="15" hidden="1" outlineLevel="2" x14ac:dyDescent="0.25">
      <c r="A139" s="39" t="s">
        <v>42</v>
      </c>
      <c r="B139" s="44"/>
      <c r="C139" s="26">
        <v>0</v>
      </c>
      <c r="D139" s="24"/>
      <c r="E139" s="24"/>
      <c r="F139" s="24"/>
      <c r="G139" s="24"/>
      <c r="H139" s="35">
        <f>+B139+C139+D139+G139+E139+F139</f>
        <v>0</v>
      </c>
      <c r="I139" s="24"/>
      <c r="J139" s="26"/>
      <c r="K139" s="35">
        <f>+H139+I139+J139</f>
        <v>0</v>
      </c>
      <c r="L139" s="26">
        <v>0</v>
      </c>
      <c r="M139" s="26"/>
      <c r="N139" s="29">
        <v>0</v>
      </c>
    </row>
    <row r="140" spans="1:14" s="38" customFormat="1" ht="15" hidden="1" outlineLevel="2" x14ac:dyDescent="0.25">
      <c r="A140" s="39" t="s">
        <v>41</v>
      </c>
      <c r="B140" s="44"/>
      <c r="C140" s="26">
        <f>69613108+6500000+7508819</f>
        <v>83621927</v>
      </c>
      <c r="D140" s="24"/>
      <c r="E140" s="24"/>
      <c r="F140" s="24"/>
      <c r="G140" s="24"/>
      <c r="H140" s="35">
        <f>+B140+C140+D140+G140+E140+F140</f>
        <v>83621927</v>
      </c>
      <c r="I140" s="24"/>
      <c r="J140" s="26"/>
      <c r="K140" s="35">
        <f>+H140+I140+J140</f>
        <v>83621927</v>
      </c>
      <c r="L140" s="26">
        <v>82701264</v>
      </c>
      <c r="M140" s="26">
        <f>+L140-K140</f>
        <v>-920663</v>
      </c>
      <c r="N140" s="29">
        <f>+L140/K140</f>
        <v>0.98899017239820364</v>
      </c>
    </row>
    <row r="141" spans="1:14" s="38" customFormat="1" ht="15" hidden="1" outlineLevel="2" x14ac:dyDescent="0.25">
      <c r="A141" s="40" t="s">
        <v>40</v>
      </c>
      <c r="B141" s="44"/>
      <c r="C141" s="23">
        <f>SUM(C142:C146)</f>
        <v>85316667</v>
      </c>
      <c r="D141" s="24"/>
      <c r="E141" s="24"/>
      <c r="F141" s="24"/>
      <c r="G141" s="24"/>
      <c r="H141" s="23">
        <f>SUM(H142:H146)</f>
        <v>85316667</v>
      </c>
      <c r="I141" s="23"/>
      <c r="J141" s="23">
        <f>SUM(J142:J146)</f>
        <v>0</v>
      </c>
      <c r="K141" s="23">
        <f>+H141+I141</f>
        <v>85316667</v>
      </c>
      <c r="L141" s="23">
        <f>SUM(L142:L146)</f>
        <v>81233335</v>
      </c>
      <c r="M141" s="26">
        <f>+L141-K141</f>
        <v>-4083332</v>
      </c>
      <c r="N141" s="29">
        <f>+L141/K141</f>
        <v>0.9521391054809959</v>
      </c>
    </row>
    <row r="142" spans="1:14" s="38" customFormat="1" ht="15" hidden="1" outlineLevel="2" x14ac:dyDescent="0.25">
      <c r="A142" s="45" t="s">
        <v>39</v>
      </c>
      <c r="B142" s="44"/>
      <c r="C142" s="26">
        <f>42389760+3926907</f>
        <v>46316667</v>
      </c>
      <c r="D142" s="24"/>
      <c r="E142" s="24"/>
      <c r="F142" s="24"/>
      <c r="G142" s="24"/>
      <c r="H142" s="35">
        <f>+B142+C142+D142+G142+E142+F142</f>
        <v>46316667</v>
      </c>
      <c r="I142" s="24"/>
      <c r="J142" s="26"/>
      <c r="K142" s="35">
        <f>+H142+I142+J142</f>
        <v>46316667</v>
      </c>
      <c r="L142" s="26">
        <v>42822634</v>
      </c>
      <c r="M142" s="26">
        <f>+L142-K142</f>
        <v>-3494033</v>
      </c>
      <c r="N142" s="29">
        <f>+L142/K142</f>
        <v>0.92456208042776478</v>
      </c>
    </row>
    <row r="143" spans="1:14" s="38" customFormat="1" ht="15" hidden="1" outlineLevel="2" x14ac:dyDescent="0.25">
      <c r="A143" s="45" t="s">
        <v>38</v>
      </c>
      <c r="B143" s="44"/>
      <c r="C143" s="26">
        <f>53000000-12000000-13500000-23573093-3926907</f>
        <v>0</v>
      </c>
      <c r="D143" s="24"/>
      <c r="E143" s="24"/>
      <c r="F143" s="24"/>
      <c r="G143" s="24"/>
      <c r="H143" s="35">
        <f>+B143+C143+D143+G143+E143+F143</f>
        <v>0</v>
      </c>
      <c r="I143" s="24"/>
      <c r="J143" s="26"/>
      <c r="K143" s="35">
        <f>+H143+I143+J143</f>
        <v>0</v>
      </c>
      <c r="L143" s="26">
        <v>0</v>
      </c>
      <c r="M143" s="26">
        <f>+L143-K143</f>
        <v>0</v>
      </c>
      <c r="N143" s="29">
        <v>0</v>
      </c>
    </row>
    <row r="144" spans="1:14" s="38" customFormat="1" ht="15" hidden="1" outlineLevel="2" x14ac:dyDescent="0.25">
      <c r="A144" s="45" t="s">
        <v>37</v>
      </c>
      <c r="B144" s="44"/>
      <c r="C144" s="26">
        <f>20000000-6500000</f>
        <v>13500000</v>
      </c>
      <c r="D144" s="24"/>
      <c r="E144" s="24"/>
      <c r="F144" s="24"/>
      <c r="G144" s="24"/>
      <c r="H144" s="35">
        <f>+B144+C144+D144+G144+E144+F144</f>
        <v>13500000</v>
      </c>
      <c r="I144" s="24"/>
      <c r="J144" s="26"/>
      <c r="K144" s="35">
        <f>+H144+I144+J144</f>
        <v>13500000</v>
      </c>
      <c r="L144" s="26">
        <v>13338767</v>
      </c>
      <c r="M144" s="26">
        <f>+L144-K144</f>
        <v>-161233</v>
      </c>
      <c r="N144" s="29">
        <f>+L144/K144</f>
        <v>0.98805681481481478</v>
      </c>
    </row>
    <row r="145" spans="1:14" s="38" customFormat="1" ht="15" hidden="1" outlineLevel="2" x14ac:dyDescent="0.25">
      <c r="A145" s="45" t="s">
        <v>36</v>
      </c>
      <c r="B145" s="44"/>
      <c r="C145" s="26">
        <v>12000000</v>
      </c>
      <c r="D145" s="24"/>
      <c r="E145" s="24"/>
      <c r="F145" s="24"/>
      <c r="G145" s="24"/>
      <c r="H145" s="35">
        <f>+B145+C145+D145+G145+E145+F145</f>
        <v>12000000</v>
      </c>
      <c r="I145" s="24"/>
      <c r="J145" s="26"/>
      <c r="K145" s="35">
        <f>+H145+I145+J145</f>
        <v>12000000</v>
      </c>
      <c r="L145" s="26">
        <v>11947917</v>
      </c>
      <c r="M145" s="26">
        <f>+L145-K145</f>
        <v>-52083</v>
      </c>
      <c r="N145" s="29">
        <f>+L145/K145</f>
        <v>0.99565974999999995</v>
      </c>
    </row>
    <row r="146" spans="1:14" s="38" customFormat="1" ht="15" hidden="1" outlineLevel="2" x14ac:dyDescent="0.25">
      <c r="A146" s="45" t="s">
        <v>35</v>
      </c>
      <c r="B146" s="44"/>
      <c r="C146" s="26">
        <v>13500000</v>
      </c>
      <c r="D146" s="24"/>
      <c r="E146" s="24"/>
      <c r="F146" s="24"/>
      <c r="G146" s="24"/>
      <c r="H146" s="35">
        <f>+B146+C146+D146+G146+E146+F146</f>
        <v>13500000</v>
      </c>
      <c r="I146" s="24"/>
      <c r="J146" s="26"/>
      <c r="K146" s="35">
        <f>+H146+I146+J146</f>
        <v>13500000</v>
      </c>
      <c r="L146" s="26">
        <v>13124017</v>
      </c>
      <c r="M146" s="26">
        <f>+L146-K146</f>
        <v>-375983</v>
      </c>
      <c r="N146" s="29">
        <f>+L146/K146</f>
        <v>0.97214940740740741</v>
      </c>
    </row>
    <row r="147" spans="1:14" s="38" customFormat="1" ht="15" hidden="1" outlineLevel="1" x14ac:dyDescent="0.25">
      <c r="A147" s="39" t="s">
        <v>34</v>
      </c>
      <c r="B147" s="44"/>
      <c r="C147" s="35">
        <f>128648415-7508819</f>
        <v>121139596</v>
      </c>
      <c r="D147" s="24"/>
      <c r="E147" s="24"/>
      <c r="F147" s="24"/>
      <c r="G147" s="24"/>
      <c r="H147" s="35">
        <f>+B147+C147+D147+G147+E147+F147</f>
        <v>121139596</v>
      </c>
      <c r="I147" s="24"/>
      <c r="J147" s="35"/>
      <c r="K147" s="35">
        <f>+H147+I147+J147</f>
        <v>121139596</v>
      </c>
      <c r="L147" s="35">
        <v>119469068</v>
      </c>
      <c r="M147" s="26">
        <f>+L147-K147</f>
        <v>-1670528</v>
      </c>
      <c r="N147" s="29">
        <f>+L147/K147</f>
        <v>0.98620989292386285</v>
      </c>
    </row>
    <row r="148" spans="1:14" s="38" customFormat="1" ht="15" collapsed="1" x14ac:dyDescent="0.25">
      <c r="A148" s="39"/>
      <c r="B148" s="44"/>
      <c r="C148" s="24"/>
      <c r="D148" s="24"/>
      <c r="E148" s="24"/>
      <c r="F148" s="24"/>
      <c r="G148" s="24"/>
      <c r="H148" s="35"/>
      <c r="I148" s="24"/>
      <c r="J148" s="24"/>
      <c r="K148" s="35"/>
      <c r="L148" s="35"/>
      <c r="M148" s="26"/>
      <c r="N148" s="22"/>
    </row>
    <row r="149" spans="1:14" s="38" customFormat="1" ht="15" x14ac:dyDescent="0.25">
      <c r="A149" s="40" t="s">
        <v>33</v>
      </c>
      <c r="B149" s="44"/>
      <c r="C149" s="24"/>
      <c r="D149" s="24">
        <f>+D150+D154+D168</f>
        <v>1474353780</v>
      </c>
      <c r="E149" s="24"/>
      <c r="F149" s="24"/>
      <c r="G149" s="24"/>
      <c r="H149" s="24">
        <f>+H150+H154+H168</f>
        <v>1474353780</v>
      </c>
      <c r="I149" s="24"/>
      <c r="J149" s="24">
        <f>+J150+J154+J168</f>
        <v>60000000</v>
      </c>
      <c r="K149" s="23">
        <f>+H149+I149+J149</f>
        <v>1534353780</v>
      </c>
      <c r="L149" s="24">
        <f>+L150+L154+L168</f>
        <v>1140293164</v>
      </c>
      <c r="M149" s="23">
        <f>+L149-K149</f>
        <v>-394060616</v>
      </c>
      <c r="N149" s="22">
        <f>+L149/K149</f>
        <v>0.74317486544726341</v>
      </c>
    </row>
    <row r="150" spans="1:14" s="38" customFormat="1" ht="15" x14ac:dyDescent="0.25">
      <c r="A150" s="40" t="s">
        <v>32</v>
      </c>
      <c r="B150" s="24"/>
      <c r="C150" s="24"/>
      <c r="D150" s="24">
        <f>SUM(D151:D153)</f>
        <v>715211355</v>
      </c>
      <c r="E150" s="24"/>
      <c r="F150" s="24"/>
      <c r="G150" s="24"/>
      <c r="H150" s="24">
        <f>SUM(H151:H153)</f>
        <v>715211355</v>
      </c>
      <c r="I150" s="24"/>
      <c r="J150" s="24">
        <f>SUM(J151:J153)</f>
        <v>0</v>
      </c>
      <c r="K150" s="24">
        <f>SUM(K151:K153)</f>
        <v>715211355</v>
      </c>
      <c r="L150" s="24">
        <f>SUM(L151:L153)</f>
        <v>577476739</v>
      </c>
      <c r="M150" s="23">
        <f>+L150-K150</f>
        <v>-137734616</v>
      </c>
      <c r="N150" s="22">
        <f>+L150/K150</f>
        <v>0.80742110001874901</v>
      </c>
    </row>
    <row r="151" spans="1:14" s="38" customFormat="1" ht="15" hidden="1" outlineLevel="1" x14ac:dyDescent="0.25">
      <c r="A151" s="39" t="s">
        <v>31</v>
      </c>
      <c r="B151" s="24"/>
      <c r="C151" s="24"/>
      <c r="D151" s="35">
        <f>696735742-4300000</f>
        <v>692435742</v>
      </c>
      <c r="E151" s="24"/>
      <c r="F151" s="24"/>
      <c r="G151" s="24"/>
      <c r="H151" s="26">
        <f>+B151+C151+D151+G151+E151+F151</f>
        <v>692435742</v>
      </c>
      <c r="I151" s="24"/>
      <c r="J151" s="35"/>
      <c r="K151" s="35">
        <f>+H151+I151+J151</f>
        <v>692435742</v>
      </c>
      <c r="L151" s="35">
        <v>560604893</v>
      </c>
      <c r="M151" s="26">
        <f>+L151-K151</f>
        <v>-131830849</v>
      </c>
      <c r="N151" s="29">
        <f>+L151/K151</f>
        <v>0.80961287668480864</v>
      </c>
    </row>
    <row r="152" spans="1:14" s="38" customFormat="1" ht="15" hidden="1" outlineLevel="1" x14ac:dyDescent="0.25">
      <c r="A152" s="39" t="s">
        <v>30</v>
      </c>
      <c r="B152" s="24"/>
      <c r="C152" s="24"/>
      <c r="D152" s="35">
        <v>2256438</v>
      </c>
      <c r="E152" s="24"/>
      <c r="F152" s="24"/>
      <c r="G152" s="24"/>
      <c r="H152" s="26">
        <f>+B152+C152+D152+G152+E152+F152</f>
        <v>2256438</v>
      </c>
      <c r="I152" s="24"/>
      <c r="J152" s="35"/>
      <c r="K152" s="35">
        <f>+H152+I152+J152</f>
        <v>2256438</v>
      </c>
      <c r="L152" s="35">
        <v>722689</v>
      </c>
      <c r="M152" s="26">
        <f>+L152-K152</f>
        <v>-1533749</v>
      </c>
      <c r="N152" s="29">
        <f>+L152/K152</f>
        <v>0.32027868702796175</v>
      </c>
    </row>
    <row r="153" spans="1:14" s="38" customFormat="1" ht="15" hidden="1" outlineLevel="1" x14ac:dyDescent="0.25">
      <c r="A153" s="39" t="s">
        <v>29</v>
      </c>
      <c r="B153" s="24"/>
      <c r="C153" s="24"/>
      <c r="D153" s="35">
        <f>16219175+4300000</f>
        <v>20519175</v>
      </c>
      <c r="E153" s="24"/>
      <c r="F153" s="24"/>
      <c r="G153" s="24"/>
      <c r="H153" s="26">
        <f>+B153+C153+D153+G153+E153+F153</f>
        <v>20519175</v>
      </c>
      <c r="I153" s="24"/>
      <c r="J153" s="35"/>
      <c r="K153" s="35">
        <f>+H153+I153+J153</f>
        <v>20519175</v>
      </c>
      <c r="L153" s="35">
        <v>16149157</v>
      </c>
      <c r="M153" s="26">
        <f>+L153-K153</f>
        <v>-4370018</v>
      </c>
      <c r="N153" s="29">
        <f>+L153/K153</f>
        <v>0.78702759735710626</v>
      </c>
    </row>
    <row r="154" spans="1:14" s="38" customFormat="1" ht="15" collapsed="1" x14ac:dyDescent="0.25">
      <c r="A154" s="40" t="s">
        <v>28</v>
      </c>
      <c r="B154" s="24"/>
      <c r="C154" s="24"/>
      <c r="D154" s="24">
        <f>+D155+D164</f>
        <v>428168670</v>
      </c>
      <c r="E154" s="24"/>
      <c r="F154" s="24"/>
      <c r="G154" s="24"/>
      <c r="H154" s="24">
        <f>+H155+H164</f>
        <v>428168670</v>
      </c>
      <c r="I154" s="24"/>
      <c r="J154" s="24">
        <f>+J155+J164</f>
        <v>60000000</v>
      </c>
      <c r="K154" s="24">
        <f>+K155+K164</f>
        <v>488168670</v>
      </c>
      <c r="L154" s="24">
        <f>+L155+L164</f>
        <v>276587385</v>
      </c>
      <c r="M154" s="23">
        <f>+L154-K154</f>
        <v>-211581285</v>
      </c>
      <c r="N154" s="22">
        <f>+L154/K154</f>
        <v>0.56658159770884109</v>
      </c>
    </row>
    <row r="155" spans="1:14" s="38" customFormat="1" ht="15" hidden="1" outlineLevel="1" x14ac:dyDescent="0.25">
      <c r="A155" s="40" t="s">
        <v>27</v>
      </c>
      <c r="B155" s="24"/>
      <c r="C155" s="24"/>
      <c r="D155" s="24">
        <f>SUM(D156:D163)</f>
        <v>286375437</v>
      </c>
      <c r="E155" s="24"/>
      <c r="F155" s="24"/>
      <c r="G155" s="24"/>
      <c r="H155" s="24">
        <f>SUM(H156:H163)</f>
        <v>286375437</v>
      </c>
      <c r="I155" s="24"/>
      <c r="J155" s="24">
        <f>SUM(J156:J163)</f>
        <v>60000000</v>
      </c>
      <c r="K155" s="24">
        <f>SUM(K156:K163)</f>
        <v>346375437</v>
      </c>
      <c r="L155" s="24">
        <f>SUM(L156:L163)</f>
        <v>187742915</v>
      </c>
      <c r="M155" s="26">
        <f>+L155-K155</f>
        <v>-158632522</v>
      </c>
      <c r="N155" s="22">
        <f>+L155/K155</f>
        <v>0.5420214453601685</v>
      </c>
    </row>
    <row r="156" spans="1:14" s="38" customFormat="1" ht="15" hidden="1" outlineLevel="2" x14ac:dyDescent="0.25">
      <c r="A156" s="39" t="str">
        <f>+[3]Hoja1!$A$23</f>
        <v>Gira técnica</v>
      </c>
      <c r="B156" s="24"/>
      <c r="C156" s="24"/>
      <c r="D156" s="35">
        <v>0</v>
      </c>
      <c r="E156" s="24"/>
      <c r="F156" s="24"/>
      <c r="G156" s="24"/>
      <c r="H156" s="26">
        <f>+B156+C156+D156+G156+E156+F156</f>
        <v>0</v>
      </c>
      <c r="I156" s="24"/>
      <c r="J156" s="43"/>
      <c r="K156" s="35">
        <f>+H156+I156+J156</f>
        <v>0</v>
      </c>
      <c r="L156" s="35">
        <v>-30341915</v>
      </c>
      <c r="M156" s="26">
        <f>+L156-K156</f>
        <v>-30341915</v>
      </c>
      <c r="N156" s="29">
        <v>1</v>
      </c>
    </row>
    <row r="157" spans="1:14" s="38" customFormat="1" ht="15" hidden="1" outlineLevel="2" x14ac:dyDescent="0.25">
      <c r="A157" s="39" t="str">
        <f>+[3]Hoja1!$A$24</f>
        <v>Capacitación en desposte y transformación de la carne de cerdo</v>
      </c>
      <c r="B157" s="24"/>
      <c r="C157" s="24"/>
      <c r="D157" s="35">
        <v>11477932</v>
      </c>
      <c r="E157" s="24"/>
      <c r="F157" s="24"/>
      <c r="G157" s="24"/>
      <c r="H157" s="26">
        <f>+B157+C157+D157+G157+E157+F157</f>
        <v>11477932</v>
      </c>
      <c r="I157" s="24"/>
      <c r="J157" s="43"/>
      <c r="K157" s="35">
        <f>+H157+I157+J157</f>
        <v>11477932</v>
      </c>
      <c r="L157" s="35">
        <v>5837460</v>
      </c>
      <c r="M157" s="26">
        <f>+L157-K157</f>
        <v>-5640472</v>
      </c>
      <c r="N157" s="29">
        <f>+L157/K157</f>
        <v>0.50858116252997487</v>
      </c>
    </row>
    <row r="158" spans="1:14" s="38" customFormat="1" ht="15" hidden="1" outlineLevel="2" x14ac:dyDescent="0.25">
      <c r="A158" s="39" t="str">
        <f>+[3]Hoja1!$A$28</f>
        <v>Campus virtual</v>
      </c>
      <c r="B158" s="24"/>
      <c r="C158" s="24"/>
      <c r="D158" s="35">
        <v>13800000</v>
      </c>
      <c r="E158" s="24"/>
      <c r="F158" s="24"/>
      <c r="G158" s="24"/>
      <c r="H158" s="26">
        <f>+B158+C158+D158+G158+E158+F158</f>
        <v>13800000</v>
      </c>
      <c r="I158" s="24"/>
      <c r="J158" s="43"/>
      <c r="K158" s="35">
        <f>+H158+I158+J158</f>
        <v>13800000</v>
      </c>
      <c r="L158" s="35">
        <v>10200000</v>
      </c>
      <c r="M158" s="26">
        <f>+L158-K158</f>
        <v>-3600000</v>
      </c>
      <c r="N158" s="29">
        <f>+L158/K158</f>
        <v>0.73913043478260865</v>
      </c>
    </row>
    <row r="159" spans="1:14" s="38" customFormat="1" ht="15" hidden="1" outlineLevel="2" x14ac:dyDescent="0.25">
      <c r="A159" s="39" t="str">
        <f>+[3]Hoja1!$A$30</f>
        <v>Encuentros regionales porcicolas</v>
      </c>
      <c r="B159" s="24"/>
      <c r="C159" s="24"/>
      <c r="D159" s="35">
        <v>22184255</v>
      </c>
      <c r="E159" s="24"/>
      <c r="F159" s="24"/>
      <c r="G159" s="24"/>
      <c r="H159" s="26">
        <f>+B159+C159+D159+G159+E159+F159</f>
        <v>22184255</v>
      </c>
      <c r="I159" s="24"/>
      <c r="J159" s="43"/>
      <c r="K159" s="35">
        <f>+H159+I159+J159</f>
        <v>22184255</v>
      </c>
      <c r="L159" s="35">
        <v>12773082</v>
      </c>
      <c r="M159" s="26">
        <f>+L159-K159</f>
        <v>-9411173</v>
      </c>
      <c r="N159" s="29">
        <f>+L159/K159</f>
        <v>0.57577241155945957</v>
      </c>
    </row>
    <row r="160" spans="1:14" s="38" customFormat="1" ht="15" hidden="1" outlineLevel="2" x14ac:dyDescent="0.25">
      <c r="A160" s="39" t="s">
        <v>26</v>
      </c>
      <c r="B160" s="24"/>
      <c r="C160" s="24"/>
      <c r="D160" s="35">
        <v>45000000</v>
      </c>
      <c r="E160" s="24"/>
      <c r="F160" s="24"/>
      <c r="G160" s="24"/>
      <c r="H160" s="26">
        <f>+B160+C160+D160+G160+E160+F160</f>
        <v>45000000</v>
      </c>
      <c r="I160" s="24"/>
      <c r="J160" s="43"/>
      <c r="K160" s="35">
        <f>+H160+I160+J160</f>
        <v>45000000</v>
      </c>
      <c r="L160" s="35">
        <v>18904318</v>
      </c>
      <c r="M160" s="26">
        <f>+L160-K160</f>
        <v>-26095682</v>
      </c>
      <c r="N160" s="29">
        <f>+L160/K160</f>
        <v>0.42009595555555557</v>
      </c>
    </row>
    <row r="161" spans="1:14" s="38" customFormat="1" ht="15" hidden="1" outlineLevel="2" x14ac:dyDescent="0.25">
      <c r="A161" s="39" t="s">
        <v>25</v>
      </c>
      <c r="B161" s="24"/>
      <c r="C161" s="24"/>
      <c r="D161" s="35">
        <v>70913250</v>
      </c>
      <c r="E161" s="24"/>
      <c r="F161" s="24"/>
      <c r="G161" s="24"/>
      <c r="H161" s="26">
        <f>+B161+C161+D161+G161+E161+F161</f>
        <v>70913250</v>
      </c>
      <c r="I161" s="24"/>
      <c r="J161" s="43"/>
      <c r="K161" s="35">
        <f>+H161+I161+J161</f>
        <v>70913250</v>
      </c>
      <c r="L161" s="35">
        <v>0</v>
      </c>
      <c r="M161" s="26">
        <f>+L161-K161</f>
        <v>-70913250</v>
      </c>
      <c r="N161" s="29">
        <f>+L161/K161</f>
        <v>0</v>
      </c>
    </row>
    <row r="162" spans="1:14" s="38" customFormat="1" ht="15" hidden="1" outlineLevel="2" x14ac:dyDescent="0.25">
      <c r="A162" s="39" t="s">
        <v>24</v>
      </c>
      <c r="B162" s="24"/>
      <c r="C162" s="24"/>
      <c r="D162" s="35">
        <f>82000000</f>
        <v>82000000</v>
      </c>
      <c r="E162" s="24"/>
      <c r="F162" s="24"/>
      <c r="G162" s="24"/>
      <c r="H162" s="26">
        <f>+B162+C162+D162+G162+E162+F162</f>
        <v>82000000</v>
      </c>
      <c r="I162" s="24"/>
      <c r="J162" s="43">
        <v>60000000</v>
      </c>
      <c r="K162" s="35">
        <f>+H162+I162+J162</f>
        <v>142000000</v>
      </c>
      <c r="L162" s="35">
        <v>134000000</v>
      </c>
      <c r="M162" s="26">
        <f>+L162-K162</f>
        <v>-8000000</v>
      </c>
      <c r="N162" s="29">
        <f>+L162/K162</f>
        <v>0.94366197183098588</v>
      </c>
    </row>
    <row r="163" spans="1:14" s="38" customFormat="1" ht="15" hidden="1" outlineLevel="2" x14ac:dyDescent="0.25">
      <c r="A163" s="39" t="s">
        <v>23</v>
      </c>
      <c r="B163" s="24"/>
      <c r="C163" s="24"/>
      <c r="D163" s="35">
        <v>41000000</v>
      </c>
      <c r="E163" s="24"/>
      <c r="F163" s="24"/>
      <c r="G163" s="24"/>
      <c r="H163" s="26">
        <f>+B163+C163+D163+G163+E163+F163</f>
        <v>41000000</v>
      </c>
      <c r="I163" s="24"/>
      <c r="J163" s="43"/>
      <c r="K163" s="35">
        <f>+H163+I163+J163</f>
        <v>41000000</v>
      </c>
      <c r="L163" s="35">
        <v>36369970</v>
      </c>
      <c r="M163" s="26">
        <f>+L163-K163</f>
        <v>-4630030</v>
      </c>
      <c r="N163" s="29">
        <f>+L163/K163</f>
        <v>0.88707243902439026</v>
      </c>
    </row>
    <row r="164" spans="1:14" s="38" customFormat="1" ht="15" hidden="1" outlineLevel="1" collapsed="1" x14ac:dyDescent="0.25">
      <c r="A164" s="40" t="s">
        <v>22</v>
      </c>
      <c r="B164" s="24"/>
      <c r="C164" s="24"/>
      <c r="D164" s="24">
        <f>SUM(D165:D167)</f>
        <v>141793233</v>
      </c>
      <c r="E164" s="24"/>
      <c r="F164" s="24"/>
      <c r="G164" s="24"/>
      <c r="H164" s="24">
        <f>SUM(H165:H167)</f>
        <v>141793233</v>
      </c>
      <c r="I164" s="24"/>
      <c r="J164" s="24">
        <f>SUM(J165:J167)</f>
        <v>0</v>
      </c>
      <c r="K164" s="24">
        <f>SUM(K165:K167)</f>
        <v>141793233</v>
      </c>
      <c r="L164" s="24">
        <f>SUM(L165:L167)</f>
        <v>88844470</v>
      </c>
      <c r="M164" s="26">
        <f>+L164-K164</f>
        <v>-52948763</v>
      </c>
      <c r="N164" s="22">
        <f>+L164/K164</f>
        <v>0.62657764492893675</v>
      </c>
    </row>
    <row r="165" spans="1:14" s="38" customFormat="1" ht="15" hidden="1" outlineLevel="2" x14ac:dyDescent="0.25">
      <c r="A165" s="39" t="s">
        <v>21</v>
      </c>
      <c r="B165" s="24"/>
      <c r="C165" s="24"/>
      <c r="D165" s="35">
        <f>20803590+5000000</f>
        <v>25803590</v>
      </c>
      <c r="E165" s="24"/>
      <c r="F165" s="24"/>
      <c r="G165" s="24"/>
      <c r="H165" s="26">
        <f>+B165+C165+D165+G165+E165+F165</f>
        <v>25803590</v>
      </c>
      <c r="I165" s="24"/>
      <c r="J165" s="35"/>
      <c r="K165" s="35">
        <f>+H165+I165+J165</f>
        <v>25803590</v>
      </c>
      <c r="L165" s="35">
        <v>16847882</v>
      </c>
      <c r="M165" s="26">
        <f>+L165-K165</f>
        <v>-8955708</v>
      </c>
      <c r="N165" s="29">
        <f>+L165/K165</f>
        <v>0.65292782903464208</v>
      </c>
    </row>
    <row r="166" spans="1:14" s="38" customFormat="1" ht="29.25" hidden="1" outlineLevel="2" x14ac:dyDescent="0.25">
      <c r="A166" s="42" t="s">
        <v>20</v>
      </c>
      <c r="B166" s="24"/>
      <c r="C166" s="24"/>
      <c r="D166" s="35">
        <f>43200000-5000000</f>
        <v>38200000</v>
      </c>
      <c r="E166" s="24"/>
      <c r="F166" s="24"/>
      <c r="G166" s="24"/>
      <c r="H166" s="26">
        <f>+B166+C166+D166+G166+E166+F166</f>
        <v>38200000</v>
      </c>
      <c r="I166" s="24"/>
      <c r="J166" s="35"/>
      <c r="K166" s="35">
        <f>+H166+I166+J166</f>
        <v>38200000</v>
      </c>
      <c r="L166" s="35">
        <v>25585316</v>
      </c>
      <c r="M166" s="26">
        <f>+L166-K166</f>
        <v>-12614684</v>
      </c>
      <c r="N166" s="29">
        <f>+L166/K166</f>
        <v>0.6697726701570681</v>
      </c>
    </row>
    <row r="167" spans="1:14" s="38" customFormat="1" ht="15" hidden="1" outlineLevel="2" x14ac:dyDescent="0.25">
      <c r="A167" s="39" t="s">
        <v>19</v>
      </c>
      <c r="B167" s="24"/>
      <c r="C167" s="24"/>
      <c r="D167" s="35">
        <v>77789643</v>
      </c>
      <c r="E167" s="24"/>
      <c r="F167" s="24"/>
      <c r="G167" s="24"/>
      <c r="H167" s="26">
        <f>+B167+C167+D167+G167+E167+F167</f>
        <v>77789643</v>
      </c>
      <c r="I167" s="24"/>
      <c r="J167" s="35"/>
      <c r="K167" s="35">
        <f>+H167+I167+J167</f>
        <v>77789643</v>
      </c>
      <c r="L167" s="35">
        <v>46411272</v>
      </c>
      <c r="M167" s="26">
        <f>+L167-K167</f>
        <v>-31378371</v>
      </c>
      <c r="N167" s="29">
        <f>+L167/K167</f>
        <v>0.59662533738585222</v>
      </c>
    </row>
    <row r="168" spans="1:14" s="38" customFormat="1" ht="15" collapsed="1" x14ac:dyDescent="0.25">
      <c r="A168" s="40" t="s">
        <v>18</v>
      </c>
      <c r="B168" s="24"/>
      <c r="C168" s="24"/>
      <c r="D168" s="24">
        <f>+D169+D173+D177+D178</f>
        <v>330973755</v>
      </c>
      <c r="E168" s="24"/>
      <c r="F168" s="24"/>
      <c r="G168" s="24"/>
      <c r="H168" s="24">
        <f>+H169+H173+H177+H178</f>
        <v>330973755</v>
      </c>
      <c r="I168" s="24"/>
      <c r="J168" s="24">
        <f>+J169+J173+J177+J178</f>
        <v>0</v>
      </c>
      <c r="K168" s="24">
        <f>+K169+K173+K177+K178</f>
        <v>330973755</v>
      </c>
      <c r="L168" s="24">
        <f>+L169+L173+L177+L178</f>
        <v>286229040</v>
      </c>
      <c r="M168" s="23">
        <f>+L168-K168</f>
        <v>-44744715</v>
      </c>
      <c r="N168" s="22">
        <f>+L168/K168</f>
        <v>0.86480887283645802</v>
      </c>
    </row>
    <row r="169" spans="1:14" s="38" customFormat="1" ht="15" hidden="1" outlineLevel="1" x14ac:dyDescent="0.25">
      <c r="A169" s="40" t="s">
        <v>17</v>
      </c>
      <c r="B169" s="24"/>
      <c r="C169" s="24"/>
      <c r="D169" s="24">
        <f>SUM(D170:D172)</f>
        <v>135164691</v>
      </c>
      <c r="E169" s="24"/>
      <c r="F169" s="24"/>
      <c r="G169" s="24"/>
      <c r="H169" s="24">
        <f>SUM(H170:H172)</f>
        <v>135164691</v>
      </c>
      <c r="I169" s="24"/>
      <c r="J169" s="24">
        <f>SUM(J170:J172)</f>
        <v>0</v>
      </c>
      <c r="K169" s="24">
        <f>SUM(K170:K172)</f>
        <v>135164691</v>
      </c>
      <c r="L169" s="24">
        <f>SUM(L170:L172)</f>
        <v>128165162</v>
      </c>
      <c r="M169" s="26">
        <f>+L169-K169</f>
        <v>-6999529</v>
      </c>
      <c r="N169" s="22">
        <f>+L169/K169</f>
        <v>0.94821481151464326</v>
      </c>
    </row>
    <row r="170" spans="1:14" s="38" customFormat="1" ht="15" hidden="1" outlineLevel="2" x14ac:dyDescent="0.25">
      <c r="A170" s="39" t="s">
        <v>16</v>
      </c>
      <c r="B170" s="24"/>
      <c r="C170" s="24"/>
      <c r="D170" s="26">
        <v>21695389</v>
      </c>
      <c r="E170" s="24"/>
      <c r="F170" s="24"/>
      <c r="G170" s="24"/>
      <c r="H170" s="26">
        <f>+B170+C170+D170+G170+E170+F170</f>
        <v>21695389</v>
      </c>
      <c r="I170" s="24"/>
      <c r="J170" s="26"/>
      <c r="K170" s="35">
        <f>+H170+I170+J170</f>
        <v>21695389</v>
      </c>
      <c r="L170" s="26">
        <v>16554547</v>
      </c>
      <c r="M170" s="26">
        <f>+L170-K170</f>
        <v>-5140842</v>
      </c>
      <c r="N170" s="29">
        <f>+L170/K170</f>
        <v>0.76304448839336325</v>
      </c>
    </row>
    <row r="171" spans="1:14" s="38" customFormat="1" ht="15" hidden="1" outlineLevel="2" x14ac:dyDescent="0.25">
      <c r="A171" s="39" t="s">
        <v>15</v>
      </c>
      <c r="B171" s="24"/>
      <c r="C171" s="24"/>
      <c r="D171" s="26">
        <f>61344400+3500000+36000000</f>
        <v>100844400</v>
      </c>
      <c r="E171" s="24"/>
      <c r="F171" s="24"/>
      <c r="G171" s="24"/>
      <c r="H171" s="26">
        <f>+B171+C171+D171+G171+E171+F171</f>
        <v>100844400</v>
      </c>
      <c r="I171" s="24"/>
      <c r="J171" s="26"/>
      <c r="K171" s="35">
        <f>+H171+I171+J171</f>
        <v>100844400</v>
      </c>
      <c r="L171" s="26">
        <v>99904915</v>
      </c>
      <c r="M171" s="26">
        <f>+L171-K171</f>
        <v>-939485</v>
      </c>
      <c r="N171" s="29">
        <f>+L171/K171</f>
        <v>0.99068381585888754</v>
      </c>
    </row>
    <row r="172" spans="1:14" s="38" customFormat="1" ht="15" hidden="1" outlineLevel="2" x14ac:dyDescent="0.25">
      <c r="A172" s="39" t="s">
        <v>14</v>
      </c>
      <c r="B172" s="24"/>
      <c r="C172" s="24"/>
      <c r="D172" s="26">
        <f>16124902-3500000</f>
        <v>12624902</v>
      </c>
      <c r="E172" s="24"/>
      <c r="F172" s="24"/>
      <c r="G172" s="24"/>
      <c r="H172" s="26">
        <f>+B172+C172+D172+G172+E172+F172</f>
        <v>12624902</v>
      </c>
      <c r="I172" s="24"/>
      <c r="J172" s="26"/>
      <c r="K172" s="35">
        <f>+H172+I172+J172</f>
        <v>12624902</v>
      </c>
      <c r="L172" s="26">
        <v>11705700</v>
      </c>
      <c r="M172" s="26">
        <f>+L172-K172</f>
        <v>-919202</v>
      </c>
      <c r="N172" s="29">
        <f>+L172/K172</f>
        <v>0.92719135562398824</v>
      </c>
    </row>
    <row r="173" spans="1:14" s="38" customFormat="1" ht="15" hidden="1" outlineLevel="1" x14ac:dyDescent="0.25">
      <c r="A173" s="40" t="s">
        <v>13</v>
      </c>
      <c r="B173" s="24"/>
      <c r="C173" s="24"/>
      <c r="D173" s="24">
        <f>SUM(D174:D176)</f>
        <v>152307000</v>
      </c>
      <c r="E173" s="24"/>
      <c r="F173" s="24"/>
      <c r="G173" s="24"/>
      <c r="H173" s="24">
        <f>SUM(H174:H176)</f>
        <v>152307000</v>
      </c>
      <c r="I173" s="24"/>
      <c r="J173" s="24">
        <f>SUM(J174:J176)</f>
        <v>0</v>
      </c>
      <c r="K173" s="24">
        <f>SUM(K174:K176)</f>
        <v>152307000</v>
      </c>
      <c r="L173" s="24">
        <f>SUM(L174:L176)</f>
        <v>126422008</v>
      </c>
      <c r="M173" s="26">
        <f>+L173-K173</f>
        <v>-25884992</v>
      </c>
      <c r="N173" s="22">
        <f>+L173/K173</f>
        <v>0.83004725981077687</v>
      </c>
    </row>
    <row r="174" spans="1:14" s="38" customFormat="1" ht="15" hidden="1" outlineLevel="2" x14ac:dyDescent="0.25">
      <c r="A174" s="39" t="s">
        <v>12</v>
      </c>
      <c r="B174" s="24"/>
      <c r="C174" s="24"/>
      <c r="D174" s="26">
        <f>108215916+20000000+10000000+4000000</f>
        <v>142215916</v>
      </c>
      <c r="E174" s="24"/>
      <c r="F174" s="24"/>
      <c r="G174" s="24"/>
      <c r="H174" s="26">
        <f>+B174+C174+D174+G174+E174+F174</f>
        <v>142215916</v>
      </c>
      <c r="I174" s="24"/>
      <c r="J174" s="26"/>
      <c r="K174" s="35">
        <f>+H174+I174+J174</f>
        <v>142215916</v>
      </c>
      <c r="L174" s="26">
        <v>124448199</v>
      </c>
      <c r="M174" s="26">
        <f>+L174-K174</f>
        <v>-17767717</v>
      </c>
      <c r="N174" s="29">
        <f>+L174/K174</f>
        <v>0.87506520015664069</v>
      </c>
    </row>
    <row r="175" spans="1:14" s="38" customFormat="1" ht="15" hidden="1" outlineLevel="1" x14ac:dyDescent="0.25">
      <c r="A175" s="39" t="str">
        <f>+[2]Hoja1!$A$50</f>
        <v>Pruebas interlaboratorios</v>
      </c>
      <c r="B175" s="24"/>
      <c r="C175" s="24"/>
      <c r="D175" s="35">
        <f>27677531-20000000</f>
        <v>7677531</v>
      </c>
      <c r="E175" s="35"/>
      <c r="F175" s="35"/>
      <c r="G175" s="35"/>
      <c r="H175" s="35">
        <f>+B175+C175+D175+G175+E175+F175</f>
        <v>7677531</v>
      </c>
      <c r="I175" s="35"/>
      <c r="J175" s="35"/>
      <c r="K175" s="35">
        <f>+H175+I175+J175</f>
        <v>7677531</v>
      </c>
      <c r="L175" s="35">
        <v>716000</v>
      </c>
      <c r="M175" s="26">
        <f>+L175-K175</f>
        <v>-6961531</v>
      </c>
      <c r="N175" s="29">
        <f>+L175/K175</f>
        <v>9.3259148025582703E-2</v>
      </c>
    </row>
    <row r="176" spans="1:14" s="38" customFormat="1" ht="15" hidden="1" outlineLevel="1" x14ac:dyDescent="0.25">
      <c r="A176" s="39" t="str">
        <f>+[2]Hoja1!$A$51</f>
        <v>Promoción al diagnóstico</v>
      </c>
      <c r="B176" s="24"/>
      <c r="C176" s="24"/>
      <c r="D176" s="35">
        <f>6413553-4000000</f>
        <v>2413553</v>
      </c>
      <c r="E176" s="35"/>
      <c r="F176" s="35"/>
      <c r="G176" s="35"/>
      <c r="H176" s="35">
        <f>+B176+C176+D176+G176+E176+F176</f>
        <v>2413553</v>
      </c>
      <c r="I176" s="35"/>
      <c r="J176" s="35"/>
      <c r="K176" s="35">
        <f>+H176+I176+J176</f>
        <v>2413553</v>
      </c>
      <c r="L176" s="35">
        <v>1257809</v>
      </c>
      <c r="M176" s="26">
        <f>+L176-K176</f>
        <v>-1155744</v>
      </c>
      <c r="N176" s="29">
        <f>+L176/K176</f>
        <v>0.52114413895199319</v>
      </c>
    </row>
    <row r="177" spans="1:15" s="38" customFormat="1" ht="15" hidden="1" outlineLevel="1" x14ac:dyDescent="0.25">
      <c r="A177" s="40" t="str">
        <f>+[2]Hoja1!$A$52</f>
        <v>Inocuidad y ambiente</v>
      </c>
      <c r="B177" s="24"/>
      <c r="C177" s="24"/>
      <c r="D177" s="24">
        <f>14002064-10000000</f>
        <v>4002064</v>
      </c>
      <c r="E177" s="24"/>
      <c r="F177" s="24"/>
      <c r="G177" s="24"/>
      <c r="H177" s="23">
        <f>+B177+C177+D177+G177+E177+F177</f>
        <v>4002064</v>
      </c>
      <c r="I177" s="23"/>
      <c r="J177" s="41"/>
      <c r="K177" s="23">
        <f>+H177+I177+J177</f>
        <v>4002064</v>
      </c>
      <c r="L177" s="41">
        <v>0</v>
      </c>
      <c r="M177" s="26">
        <f>+L177-K177</f>
        <v>-4002064</v>
      </c>
      <c r="N177" s="22">
        <f>+L177/K177</f>
        <v>0</v>
      </c>
    </row>
    <row r="178" spans="1:15" s="38" customFormat="1" ht="15" hidden="1" outlineLevel="1" x14ac:dyDescent="0.25">
      <c r="A178" s="40" t="s">
        <v>11</v>
      </c>
      <c r="B178" s="24"/>
      <c r="C178" s="24"/>
      <c r="D178" s="24">
        <f>75500000-36000000</f>
        <v>39500000</v>
      </c>
      <c r="E178" s="24"/>
      <c r="F178" s="24"/>
      <c r="G178" s="24"/>
      <c r="H178" s="23">
        <f>+B178+C178+D178+G178+E178+F178</f>
        <v>39500000</v>
      </c>
      <c r="I178" s="23"/>
      <c r="J178" s="41"/>
      <c r="K178" s="23">
        <f>+H178+I178+J178</f>
        <v>39500000</v>
      </c>
      <c r="L178" s="41">
        <v>31641870</v>
      </c>
      <c r="M178" s="26">
        <f>+L178-K178</f>
        <v>-7858130</v>
      </c>
      <c r="N178" s="22">
        <f>+L178/K178</f>
        <v>0.80105999999999999</v>
      </c>
    </row>
    <row r="179" spans="1:15" s="38" customFormat="1" ht="15" collapsed="1" x14ac:dyDescent="0.25">
      <c r="A179" s="39"/>
      <c r="B179" s="24"/>
      <c r="C179" s="24"/>
      <c r="D179" s="24"/>
      <c r="E179" s="24"/>
      <c r="F179" s="24"/>
      <c r="G179" s="24"/>
      <c r="H179" s="26"/>
      <c r="I179" s="24"/>
      <c r="J179" s="24"/>
      <c r="K179" s="35"/>
      <c r="L179" s="35"/>
      <c r="M179" s="26"/>
      <c r="N179" s="22"/>
    </row>
    <row r="180" spans="1:15" s="38" customFormat="1" ht="15" x14ac:dyDescent="0.25">
      <c r="A180" s="40" t="s">
        <v>10</v>
      </c>
      <c r="B180" s="24"/>
      <c r="C180" s="24"/>
      <c r="D180" s="24"/>
      <c r="E180" s="23">
        <f>+E181</f>
        <v>417000000</v>
      </c>
      <c r="F180" s="23"/>
      <c r="G180" s="23"/>
      <c r="H180" s="23">
        <f>+H181</f>
        <v>417000000</v>
      </c>
      <c r="I180" s="23"/>
      <c r="J180" s="23">
        <f>+J181</f>
        <v>0</v>
      </c>
      <c r="K180" s="23">
        <f>+H180+I180</f>
        <v>417000000</v>
      </c>
      <c r="L180" s="23">
        <f>+L181</f>
        <v>358478709</v>
      </c>
      <c r="M180" s="23">
        <f>+L180-K180</f>
        <v>-58521291</v>
      </c>
      <c r="N180" s="22">
        <f>+L180/K180</f>
        <v>0.85966117266187048</v>
      </c>
    </row>
    <row r="181" spans="1:15" s="38" customFormat="1" ht="15" x14ac:dyDescent="0.25">
      <c r="A181" s="40" t="s">
        <v>9</v>
      </c>
      <c r="B181" s="24"/>
      <c r="C181" s="24"/>
      <c r="D181" s="24"/>
      <c r="E181" s="24">
        <f>+E182</f>
        <v>417000000</v>
      </c>
      <c r="F181" s="24"/>
      <c r="G181" s="24"/>
      <c r="H181" s="24">
        <f>+H182</f>
        <v>417000000</v>
      </c>
      <c r="I181" s="24"/>
      <c r="J181" s="24">
        <f>+J182</f>
        <v>0</v>
      </c>
      <c r="K181" s="24">
        <f>+K182</f>
        <v>417000000</v>
      </c>
      <c r="L181" s="24">
        <f>+L182</f>
        <v>358478709</v>
      </c>
      <c r="M181" s="23">
        <f>+L181-K181</f>
        <v>-58521291</v>
      </c>
      <c r="N181" s="22">
        <f>+L181/K181</f>
        <v>0.85966117266187048</v>
      </c>
    </row>
    <row r="182" spans="1:15" s="38" customFormat="1" ht="15" hidden="1" outlineLevel="2" x14ac:dyDescent="0.25">
      <c r="A182" s="39" t="str">
        <f>+'[1]Presupuesto 2018 vs 2017'!$B$18</f>
        <v>Programa Nacional de Sanidad Porcina</v>
      </c>
      <c r="B182" s="24"/>
      <c r="C182" s="24"/>
      <c r="D182" s="24"/>
      <c r="E182" s="35">
        <v>417000000</v>
      </c>
      <c r="F182" s="24"/>
      <c r="G182" s="24"/>
      <c r="H182" s="26">
        <f>+B182+C182+D182+G182+E182+F182</f>
        <v>417000000</v>
      </c>
      <c r="I182" s="24"/>
      <c r="J182" s="24"/>
      <c r="K182" s="35">
        <f>+H182+I182+J182</f>
        <v>417000000</v>
      </c>
      <c r="L182" s="24">
        <v>358478709</v>
      </c>
      <c r="M182" s="26">
        <f>+L182-K182</f>
        <v>-58521291</v>
      </c>
      <c r="N182" s="29">
        <f>+L182/K182</f>
        <v>0.85966117266187048</v>
      </c>
    </row>
    <row r="183" spans="1:15" s="38" customFormat="1" ht="15" collapsed="1" x14ac:dyDescent="0.25">
      <c r="A183" s="39"/>
      <c r="B183" s="26"/>
      <c r="C183" s="24"/>
      <c r="D183" s="24"/>
      <c r="E183" s="24"/>
      <c r="F183" s="24"/>
      <c r="G183" s="24"/>
      <c r="H183" s="26"/>
      <c r="I183" s="24"/>
      <c r="J183" s="24"/>
      <c r="K183" s="35"/>
      <c r="L183" s="35"/>
      <c r="M183" s="26"/>
      <c r="N183" s="22"/>
    </row>
    <row r="184" spans="1:15" ht="15" x14ac:dyDescent="0.25">
      <c r="A184" s="32" t="s">
        <v>8</v>
      </c>
      <c r="B184" s="26"/>
      <c r="C184" s="26"/>
      <c r="D184" s="26"/>
      <c r="E184" s="26"/>
      <c r="F184" s="26"/>
      <c r="G184" s="26"/>
      <c r="H184" s="26"/>
      <c r="I184" s="24">
        <f>+I185+I186</f>
        <v>1231074388</v>
      </c>
      <c r="J184" s="24">
        <f>+J185+J186</f>
        <v>0</v>
      </c>
      <c r="K184" s="24">
        <f>+I184+H184</f>
        <v>1231074388</v>
      </c>
      <c r="L184" s="24">
        <f>+L185+L186</f>
        <v>1190692495</v>
      </c>
      <c r="M184" s="23">
        <f>+L184-K184</f>
        <v>-40381893</v>
      </c>
      <c r="N184" s="22">
        <f>+L184/K184</f>
        <v>0.96719784491203309</v>
      </c>
      <c r="O184" s="37"/>
    </row>
    <row r="185" spans="1:15" ht="14.25" hidden="1" outlineLevel="1" x14ac:dyDescent="0.2">
      <c r="A185" s="36" t="s">
        <v>7</v>
      </c>
      <c r="B185" s="26"/>
      <c r="C185" s="26"/>
      <c r="D185" s="26"/>
      <c r="E185" s="26"/>
      <c r="F185" s="26"/>
      <c r="G185" s="26"/>
      <c r="H185" s="26"/>
      <c r="I185" s="35">
        <v>769421492</v>
      </c>
      <c r="J185" s="35"/>
      <c r="K185" s="35">
        <f>+H185+I185+J185</f>
        <v>769421492</v>
      </c>
      <c r="L185" s="35">
        <v>744182809</v>
      </c>
      <c r="M185" s="26">
        <f>+L185-K185</f>
        <v>-25238683</v>
      </c>
      <c r="N185" s="29">
        <f>+L185/K185</f>
        <v>0.96719784505317663</v>
      </c>
    </row>
    <row r="186" spans="1:15" ht="14.25" hidden="1" outlineLevel="1" x14ac:dyDescent="0.2">
      <c r="A186" s="36" t="s">
        <v>6</v>
      </c>
      <c r="B186" s="26"/>
      <c r="C186" s="26"/>
      <c r="D186" s="26"/>
      <c r="E186" s="26"/>
      <c r="F186" s="26"/>
      <c r="G186" s="26"/>
      <c r="H186" s="26"/>
      <c r="I186" s="35">
        <v>461652896</v>
      </c>
      <c r="J186" s="35"/>
      <c r="K186" s="35">
        <f>+H186+I186+J186</f>
        <v>461652896</v>
      </c>
      <c r="L186" s="35">
        <v>446509686</v>
      </c>
      <c r="M186" s="26">
        <f>+L186-K186</f>
        <v>-15143210</v>
      </c>
      <c r="N186" s="29">
        <f>+L186/K186</f>
        <v>0.96719784467679371</v>
      </c>
    </row>
    <row r="187" spans="1:15" ht="15" collapsed="1" x14ac:dyDescent="0.2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2"/>
    </row>
    <row r="188" spans="1:15" ht="15" x14ac:dyDescent="0.25">
      <c r="A188" s="34" t="s">
        <v>5</v>
      </c>
      <c r="B188" s="23"/>
      <c r="C188" s="23"/>
      <c r="D188" s="23"/>
      <c r="E188" s="23"/>
      <c r="F188" s="23"/>
      <c r="G188" s="23"/>
      <c r="H188" s="23"/>
      <c r="I188" s="23">
        <v>0</v>
      </c>
      <c r="J188" s="23"/>
      <c r="K188" s="33">
        <f>+I188+H188</f>
        <v>0</v>
      </c>
      <c r="L188" s="33">
        <f>+J188+I188</f>
        <v>0</v>
      </c>
      <c r="M188" s="23">
        <f>+L188-K188</f>
        <v>0</v>
      </c>
      <c r="N188" s="22">
        <v>0</v>
      </c>
    </row>
    <row r="189" spans="1:15" ht="15" x14ac:dyDescent="0.25">
      <c r="A189" s="34"/>
      <c r="B189" s="23"/>
      <c r="C189" s="23"/>
      <c r="D189" s="23"/>
      <c r="E189" s="23"/>
      <c r="F189" s="23"/>
      <c r="G189" s="23"/>
      <c r="H189" s="23"/>
      <c r="I189" s="23"/>
      <c r="J189" s="23"/>
      <c r="K189" s="33"/>
      <c r="L189" s="33"/>
      <c r="M189" s="26"/>
      <c r="N189" s="22"/>
    </row>
    <row r="190" spans="1:15" ht="15" x14ac:dyDescent="0.25">
      <c r="A190" s="34" t="s">
        <v>4</v>
      </c>
      <c r="B190" s="23"/>
      <c r="C190" s="23"/>
      <c r="D190" s="23"/>
      <c r="E190" s="23"/>
      <c r="F190" s="23"/>
      <c r="G190" s="23">
        <v>0</v>
      </c>
      <c r="H190" s="23">
        <f>+B190+C190+D190+G190+F190</f>
        <v>0</v>
      </c>
      <c r="I190" s="23"/>
      <c r="J190" s="23"/>
      <c r="K190" s="33">
        <f>+I190+H190</f>
        <v>0</v>
      </c>
      <c r="L190" s="33">
        <f>+J190+I190</f>
        <v>0</v>
      </c>
      <c r="M190" s="23">
        <f>+L190-K190</f>
        <v>0</v>
      </c>
      <c r="N190" s="22">
        <v>0</v>
      </c>
    </row>
    <row r="191" spans="1:15" ht="15" x14ac:dyDescent="0.2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2"/>
    </row>
    <row r="192" spans="1:15" ht="15" x14ac:dyDescent="0.25">
      <c r="A192" s="32" t="s">
        <v>3</v>
      </c>
      <c r="B192" s="26"/>
      <c r="C192" s="26"/>
      <c r="D192" s="26"/>
      <c r="E192" s="26"/>
      <c r="F192" s="26"/>
      <c r="G192" s="26"/>
      <c r="H192" s="24"/>
      <c r="I192" s="24">
        <f>+I193+I194</f>
        <v>0</v>
      </c>
      <c r="J192" s="24"/>
      <c r="K192" s="24">
        <f>+I192+H192</f>
        <v>0</v>
      </c>
      <c r="L192" s="24">
        <f>+J192+I192</f>
        <v>0</v>
      </c>
      <c r="M192" s="23">
        <f>+L192-K192</f>
        <v>0</v>
      </c>
      <c r="N192" s="22">
        <v>0</v>
      </c>
    </row>
    <row r="193" spans="1:19" s="27" customFormat="1" ht="14.25" hidden="1" outlineLevel="1" x14ac:dyDescent="0.2">
      <c r="A193" s="30" t="s">
        <v>2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>
        <f>+I193+H193</f>
        <v>0</v>
      </c>
      <c r="L193" s="26">
        <f>+J193+I193</f>
        <v>0</v>
      </c>
      <c r="M193" s="26">
        <f>+L193-K193</f>
        <v>0</v>
      </c>
      <c r="N193" s="29">
        <v>0</v>
      </c>
      <c r="O193" s="31"/>
    </row>
    <row r="194" spans="1:19" s="27" customFormat="1" ht="14.25" hidden="1" outlineLevel="1" x14ac:dyDescent="0.2">
      <c r="A194" s="30" t="s">
        <v>1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>
        <f>+I194+H194</f>
        <v>0</v>
      </c>
      <c r="L194" s="26">
        <f>+J194+I194</f>
        <v>0</v>
      </c>
      <c r="M194" s="26">
        <f>+L194-K194</f>
        <v>0</v>
      </c>
      <c r="N194" s="29">
        <v>0</v>
      </c>
      <c r="O194" s="28"/>
    </row>
    <row r="195" spans="1:19" ht="15" collapsed="1" x14ac:dyDescent="0.2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2"/>
    </row>
    <row r="196" spans="1:19" ht="15" x14ac:dyDescent="0.25">
      <c r="A196" s="25" t="s">
        <v>0</v>
      </c>
      <c r="B196" s="24">
        <f>+B50+B48</f>
        <v>634171089.77753842</v>
      </c>
      <c r="C196" s="24">
        <f>+C48+C50</f>
        <v>1247026899.9527793</v>
      </c>
      <c r="D196" s="24">
        <f>+D50+D48</f>
        <v>1621463051.1326973</v>
      </c>
      <c r="E196" s="24">
        <f>+E50+E48</f>
        <v>440178427.98981869</v>
      </c>
      <c r="F196" s="24">
        <f>+F50+F48</f>
        <v>2431202611.1470189</v>
      </c>
      <c r="G196" s="24">
        <f>+G48+G50+G190</f>
        <v>3537367750.4315348</v>
      </c>
      <c r="H196" s="24">
        <f>+B196+C196+D196+G196+E196+F196</f>
        <v>9911409830.4313869</v>
      </c>
      <c r="I196" s="24">
        <f>+I192+I184+I48+I188</f>
        <v>2051535210.7644377</v>
      </c>
      <c r="J196" s="24">
        <f>+J192+J184+J48+J188+J50</f>
        <v>60000000</v>
      </c>
      <c r="K196" s="24">
        <f>+H196+I196+J196</f>
        <v>12022945041.195824</v>
      </c>
      <c r="L196" s="24">
        <f>+L48+L50+L184+L188+L190+L192</f>
        <v>10446888934</v>
      </c>
      <c r="M196" s="23">
        <f>+L196-K196</f>
        <v>-1576056107.1958237</v>
      </c>
      <c r="N196" s="22">
        <f>+L196/K196</f>
        <v>0.86891264147049063</v>
      </c>
    </row>
    <row r="197" spans="1:19" ht="15.75" thickBot="1" x14ac:dyDescent="0.3">
      <c r="A197" s="21"/>
      <c r="B197" s="20"/>
      <c r="C197" s="18"/>
      <c r="D197" s="18"/>
      <c r="E197" s="19"/>
      <c r="F197" s="18"/>
      <c r="G197" s="19"/>
      <c r="H197" s="18"/>
      <c r="I197" s="18"/>
      <c r="J197" s="18"/>
      <c r="K197" s="17"/>
      <c r="L197" s="17"/>
      <c r="M197" s="17"/>
      <c r="N197" s="16"/>
      <c r="O197" s="15"/>
      <c r="P197" s="15"/>
      <c r="Q197" s="15"/>
      <c r="R197" s="15"/>
      <c r="S197" s="15"/>
    </row>
    <row r="198" spans="1:19" ht="13.5" thickTop="1" x14ac:dyDescent="0.2">
      <c r="A198" s="2"/>
      <c r="B198" s="5"/>
      <c r="C198" s="5"/>
      <c r="D198" s="5"/>
      <c r="E198" s="5"/>
      <c r="F198" s="5"/>
      <c r="G198" s="14"/>
      <c r="H198" s="3"/>
      <c r="I198" s="5"/>
      <c r="J198" s="5"/>
      <c r="K198" s="13"/>
      <c r="L198" s="13"/>
      <c r="M198" s="13"/>
      <c r="N198" s="12"/>
    </row>
    <row r="199" spans="1:19" x14ac:dyDescent="0.2">
      <c r="A199" s="2"/>
      <c r="B199" s="5"/>
      <c r="C199" s="5"/>
      <c r="D199" s="5"/>
      <c r="E199" s="5"/>
      <c r="F199" s="5"/>
      <c r="G199" s="11"/>
      <c r="H199" s="5"/>
      <c r="I199" s="5"/>
      <c r="J199" s="5"/>
      <c r="K199" s="6"/>
      <c r="L199" s="6"/>
      <c r="M199" s="6"/>
      <c r="N199" s="10"/>
    </row>
    <row r="200" spans="1:19" ht="15.75" x14ac:dyDescent="0.25">
      <c r="A200" s="2"/>
      <c r="B200" s="3"/>
      <c r="C200" s="3"/>
      <c r="D200" s="3"/>
      <c r="E200" s="3"/>
      <c r="F200" s="3"/>
      <c r="G200" s="8"/>
      <c r="H200" s="9"/>
      <c r="I200" s="8"/>
      <c r="J200" s="8"/>
      <c r="K200" s="7"/>
      <c r="L200" s="7"/>
      <c r="M200" s="7"/>
      <c r="N200" s="2"/>
    </row>
    <row r="201" spans="1:19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6"/>
      <c r="L201" s="6"/>
      <c r="M201" s="6"/>
      <c r="N201" s="2"/>
    </row>
    <row r="202" spans="1:19" x14ac:dyDescent="0.2">
      <c r="A202" s="2"/>
      <c r="B202" s="3"/>
      <c r="C202" s="3"/>
      <c r="D202" s="3"/>
      <c r="E202" s="3"/>
      <c r="F202" s="3"/>
      <c r="G202" s="5"/>
      <c r="H202" s="5"/>
      <c r="I202" s="5"/>
      <c r="J202" s="5"/>
      <c r="K202" s="2"/>
      <c r="L202" s="2"/>
      <c r="M202" s="2"/>
      <c r="N202" s="2"/>
    </row>
    <row r="203" spans="1:19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2"/>
      <c r="L203" s="2"/>
      <c r="M203" s="2"/>
      <c r="N203" s="2"/>
    </row>
    <row r="204" spans="1:19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2"/>
      <c r="L204" s="2"/>
      <c r="M204" s="2"/>
      <c r="N204" s="2"/>
    </row>
    <row r="205" spans="1:19" x14ac:dyDescent="0.2">
      <c r="A205" s="2"/>
      <c r="B205" s="3"/>
      <c r="C205" s="3"/>
      <c r="D205" s="3"/>
      <c r="E205" s="3"/>
      <c r="F205" s="3"/>
      <c r="G205" s="3"/>
      <c r="H205" s="3"/>
      <c r="I205" s="4"/>
      <c r="J205" s="4"/>
      <c r="K205" s="2"/>
      <c r="L205" s="2"/>
      <c r="M205" s="2"/>
      <c r="N205" s="2"/>
    </row>
    <row r="206" spans="1:19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2"/>
      <c r="L206" s="2"/>
      <c r="M206" s="2"/>
      <c r="N206" s="2"/>
    </row>
    <row r="207" spans="1:19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</row>
    <row r="208" spans="1:19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2"/>
      <c r="L208" s="2"/>
      <c r="M208" s="2"/>
      <c r="N208" s="2"/>
    </row>
    <row r="209" spans="1:14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2"/>
      <c r="L209" s="2"/>
      <c r="M209" s="2"/>
      <c r="N209" s="2"/>
    </row>
    <row r="210" spans="1:14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2"/>
      <c r="L210" s="2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</sheetData>
  <mergeCells count="4">
    <mergeCell ref="A1:N1"/>
    <mergeCell ref="A2:N2"/>
    <mergeCell ref="A3:N3"/>
    <mergeCell ref="A4:N4"/>
  </mergeCells>
  <printOptions horizontalCentered="1"/>
  <pageMargins left="0.39370078740157483" right="0.39370078740157483" top="0.39370078740157483" bottom="0.39370078740157483" header="0" footer="0"/>
  <pageSetup scale="4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</vt:lpstr>
      <vt:lpstr>'Anexo 2'!Área_de_impresión</vt:lpstr>
      <vt:lpstr>'Anexo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2020-07-21T13:49:24Z</dcterms:created>
  <dcterms:modified xsi:type="dcterms:W3CDTF">2020-07-21T14:12:03Z</dcterms:modified>
</cp:coreProperties>
</file>