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975" windowWidth="4410" windowHeight="4650" tabRatio="696" firstSheet="1" activeTab="1"/>
  </bookViews>
  <sheets>
    <sheet name="ANEXO INGRESOS" sheetId="1" state="hidden" r:id="rId1"/>
    <sheet name="Anexo Area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fn.IFERROR" hidden="1">#NAME?</definedName>
    <definedName name="ANEXO" localSheetId="0" hidden="1">'[12]Inversión total en programas'!$50:$50,'[12]Inversión total en programas'!$60:$63</definedName>
    <definedName name="ANEXO" hidden="1">'[9]Inversión total en programas'!$50:$50,'[9]Inversión total en programas'!$60:$63</definedName>
    <definedName name="_xlnm.Print_Area" localSheetId="1">'Anexo Areas'!$A$1:$L$247</definedName>
    <definedName name="_xlnm.Print_Area" localSheetId="0">'ANEXO INGRESOS'!$A$1:$H$64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'[10]Anexo 1 Minagricultura'!#REF!</definedName>
    <definedName name="CABEZAS_PROYEC" localSheetId="1">#REF!</definedName>
    <definedName name="CABEZAS_PROYEC" localSheetId="0">'[13]Anexo 1 Minagricultura'!#REF!</definedName>
    <definedName name="CABEZAS_PROYEC">#REF!</definedName>
    <definedName name="CUOTAPPC2005" localSheetId="1">#REF!</definedName>
    <definedName name="CUOTAPPC2005" localSheetId="0">'[13]Anexo 1 Minagricultura'!#REF!</definedName>
    <definedName name="CUOTAPPC2005">#REF!</definedName>
    <definedName name="CUOTAPPC2013" localSheetId="1">#REF!</definedName>
    <definedName name="CUOTAPPC2013">#REF!</definedName>
    <definedName name="CUOTAPPC203">'[17]Anexo 1'!#REF!</definedName>
    <definedName name="DIAG_PPC" localSheetId="1">'[15]Inversión total en programas'!$B$86</definedName>
    <definedName name="DIAG_PPC" localSheetId="0">'[12]Inversión total en programas'!$B$86</definedName>
    <definedName name="DIAG_PPC">#REF!</definedName>
    <definedName name="DISTRIBUIDOR">#REF!</definedName>
    <definedName name="eeeee">#REF!</definedName>
    <definedName name="EPPC" localSheetId="1">#REF!</definedName>
    <definedName name="EPPC" localSheetId="0">'[13]Anexo 1 Minagricultura'!#REF!</definedName>
    <definedName name="EPPC">#REF!</definedName>
    <definedName name="FDGFDG" localSheetId="0">#REF!</definedName>
    <definedName name="FDGFDG">#REF!</definedName>
    <definedName name="FECHA_DE_RECIBIDO">'[7]BASE'!$E$3:$E$177</definedName>
    <definedName name="FOMENTO" localSheetId="1">#REF!</definedName>
    <definedName name="FOMENTO" localSheetId="0">'[13]Anexo 1 Minagricultura'!#REF!</definedName>
    <definedName name="FOMENTO">#REF!</definedName>
    <definedName name="FOMENTOS" localSheetId="0">'[6]Anexo 1 Minagricultura'!$C$51</definedName>
    <definedName name="FOMENTOS">'[1]Anexo 1 Minagricultura'!$C$51</definedName>
    <definedName name="fondo">#REF!</definedName>
    <definedName name="GTOSEPPC" localSheetId="1">'[15]Inversión total en programas'!$C$35</definedName>
    <definedName name="GTOSEPPC" localSheetId="0">'[12]Inversión total en programas'!$C$35</definedName>
    <definedName name="GTOSEPPC">#REF!</definedName>
    <definedName name="HONORAUDI_JURIDIC">#REF!</definedName>
    <definedName name="HONTOTAL">#REF!</definedName>
    <definedName name="LABORATORIOS">#REF!</definedName>
    <definedName name="NOMBDISTRI">#REF!</definedName>
    <definedName name="ojo">#REF!</definedName>
    <definedName name="ppc">'[5]Inversión total en programas'!$B$86</definedName>
    <definedName name="RESERV_FUTU">#REF!</definedName>
    <definedName name="saldo">#REF!</definedName>
    <definedName name="saldos">#REF!</definedName>
    <definedName name="SUPERA2004" localSheetId="1">#REF!</definedName>
    <definedName name="SUPERA2004" localSheetId="0">'[13]Anexo 1 Minagricultura'!#REF!</definedName>
    <definedName name="SUPERA2004">#REF!</definedName>
    <definedName name="SUPERA2005" localSheetId="1">#REF!</definedName>
    <definedName name="SUPERA2005" localSheetId="0">'[13]Anexo 1 Minagricultura'!#REF!</definedName>
    <definedName name="SUPERA2005">#REF!</definedName>
    <definedName name="SUPERA2010">'[5]Anexo 1 Minagricultura'!$C$21</definedName>
    <definedName name="SUPERA2012" localSheetId="1">#REF!</definedName>
    <definedName name="SUPERA2012">#REF!</definedName>
    <definedName name="SUPERAVIT">#REF!</definedName>
    <definedName name="SUPERAVIT2005_FNP">#REF!</definedName>
    <definedName name="SUPERAVITPPC_2005">#REF!</definedName>
    <definedName name="_xlnm.Print_Titles" localSheetId="1">'Anexo Areas'!$1:$6</definedName>
    <definedName name="VTAS2005" localSheetId="1">#REF!</definedName>
    <definedName name="VTAS2005" localSheetId="0">'[13]Anexo 1 Minagricultura'!#REF!</definedName>
    <definedName name="VTAS2005">#REF!</definedName>
    <definedName name="xx" localSheetId="0">'[4]Ingresos'!$C$19</definedName>
    <definedName name="xx">'[2]Ingresos'!$C$19</definedName>
    <definedName name="Z_4099E833_BB74_4680_85C9_A6CF399D1CE2_.wvu.Cols" localSheetId="1" hidden="1">'[15]Nómina 2004'!$C:$E,'[15]Nómina 2004'!$H:$I,'[15]Nómina 2004'!$L:$P,'[15]Nómina 2004'!$AF:$AH</definedName>
    <definedName name="Z_4099E833_BB74_4680_85C9_A6CF399D1CE2_.wvu.Cols" localSheetId="0" hidden="1">'[13]Nómina 2004'!$C:$E,'[13]Nómina 2004'!$H:$I,'[13]Nómina 2004'!$L:$P,'[13]Nómina 2004'!$AF:$AH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localSheetId="1" hidden="1">'[15]Inversión total en programas'!$50:$50,'[15]Inversión total en programas'!$60:$63</definedName>
    <definedName name="Z_4099E833_BB74_4680_85C9_A6CF399D1CE2_.wvu.Rows" localSheetId="0" hidden="1">'[13]Inversión total en programas'!$50:$50,'[13]Inversión total en programas'!$60:$63</definedName>
    <definedName name="Z_4099E833_BB74_4680_85C9_A6CF399D1CE2_.wvu.Rows" hidden="1">#REF!,#REF!</definedName>
  </definedNames>
  <calcPr fullCalcOnLoad="1"/>
</workbook>
</file>

<file path=xl/comments1.xml><?xml version="1.0" encoding="utf-8"?>
<comments xmlns="http://schemas.openxmlformats.org/spreadsheetml/2006/main">
  <authors>
    <author>Oscar Rubio</author>
  </authors>
  <commentList>
    <comment ref="H7" authorId="0">
      <text>
        <r>
          <rPr>
            <sz val="9"/>
            <rFont val="Tahoma"/>
            <family val="2"/>
          </rPr>
          <t xml:space="preserve">Intereses causados a los recaudadores que no cumplieron con el pago oportuno por cuota de fomento vigencias años anteriores
</t>
        </r>
      </text>
    </comment>
    <comment ref="H9" authorId="0">
      <text>
        <r>
          <rPr>
            <sz val="9"/>
            <rFont val="Tahoma"/>
            <family val="2"/>
          </rPr>
          <t>Vr corespondiente a myr vr cobrado por comcel, venta de freidoras y reintegro por descuento universal Maccan</t>
        </r>
      </text>
    </comment>
    <comment ref="H17" authorId="0">
      <text>
        <r>
          <rPr>
            <sz val="9"/>
            <rFont val="Tahoma"/>
            <family val="2"/>
          </rPr>
          <t xml:space="preserve">Intereses causados a los recaudadores que no cumplieron con el pago oportuno por cuota de fomento
</t>
        </r>
      </text>
    </comment>
    <comment ref="H21" authorId="0">
      <text>
        <r>
          <rPr>
            <sz val="9"/>
            <rFont val="Tahoma"/>
            <family val="2"/>
          </rPr>
          <t>Intereses por fiducia y CDT´S</t>
        </r>
      </text>
    </comment>
    <comment ref="H23" authorId="0">
      <text>
        <r>
          <rPr>
            <sz val="9"/>
            <rFont val="Tahoma"/>
            <family val="2"/>
          </rPr>
          <t>Corresponde al pago de incapacidades de los trabajadores por parte de las EPS de los funcionarios de FNP</t>
        </r>
      </text>
    </comment>
    <comment ref="H25" authorId="0">
      <text>
        <r>
          <rPr>
            <sz val="9"/>
            <rFont val="Tahoma"/>
            <family val="2"/>
          </rPr>
          <t>Arrendamiento de espacios en los eventos de FNP</t>
        </r>
      </text>
    </comment>
    <comment ref="H30" authorId="0">
      <text>
        <r>
          <rPr>
            <b/>
            <sz val="9"/>
            <rFont val="Tahoma"/>
            <family val="2"/>
          </rPr>
          <t>convenio 656 CAR</t>
        </r>
      </text>
    </comment>
    <comment ref="F39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gobernacion de antioquia</t>
        </r>
      </text>
    </comment>
    <comment ref="G39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gobernacion de antioquia,pereira</t>
        </r>
      </text>
    </comment>
    <comment ref="H39" authorId="0">
      <text>
        <r>
          <rPr>
            <sz val="9"/>
            <rFont val="Tahoma"/>
            <family val="2"/>
          </rPr>
          <t>Convenio Gobernacion Cundinamarca$ 46.000.000,ANTIOQUIA $ 101.910.020,Pereira $ 147.375.000</t>
        </r>
      </text>
    </comment>
    <comment ref="H47" authorId="0">
      <text>
        <r>
          <rPr>
            <sz val="9"/>
            <rFont val="Tahoma"/>
            <family val="2"/>
          </rPr>
          <t>Intereses por fiducia y CDT´S</t>
        </r>
      </text>
    </comment>
    <comment ref="H52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licencia de paternidad David Nieto</t>
        </r>
      </text>
    </comment>
  </commentList>
</comments>
</file>

<file path=xl/sharedStrings.xml><?xml version="1.0" encoding="utf-8"?>
<sst xmlns="http://schemas.openxmlformats.org/spreadsheetml/2006/main" count="328" uniqueCount="291">
  <si>
    <t>Prima legal</t>
  </si>
  <si>
    <t>Vacaciones</t>
  </si>
  <si>
    <t>Seguros y/o fondos privados</t>
  </si>
  <si>
    <t>Aportes ICBF y SENA</t>
  </si>
  <si>
    <t>Cesantías</t>
  </si>
  <si>
    <t>Intereses de cesantías</t>
  </si>
  <si>
    <t>Caja de compensación</t>
  </si>
  <si>
    <t>Administración del programa</t>
  </si>
  <si>
    <t>Fortalecimiento institucional</t>
  </si>
  <si>
    <t>Capacitación y divulgación</t>
  </si>
  <si>
    <t>TOTAL PROGRAMAS Y PROYECTOS</t>
  </si>
  <si>
    <t>MINISTERIO DE AGRICULTURA  Y DESARROLLO RURAL</t>
  </si>
  <si>
    <t>Honorarios</t>
  </si>
  <si>
    <t>GASTOS GENERALES</t>
  </si>
  <si>
    <t xml:space="preserve">Mantenimiento </t>
  </si>
  <si>
    <t>Arriendos</t>
  </si>
  <si>
    <t>Correo</t>
  </si>
  <si>
    <t>CUENTAS</t>
  </si>
  <si>
    <t>Transportes, fletes y acarreos</t>
  </si>
  <si>
    <t>Muebles, equipos de oficina y software</t>
  </si>
  <si>
    <t>Aseo, vigilancia y cafetería</t>
  </si>
  <si>
    <t>Materiales y suministros</t>
  </si>
  <si>
    <t>Servicios públicos</t>
  </si>
  <si>
    <t>Seguros, impuestos y gastos legales</t>
  </si>
  <si>
    <t>Gastos comisión de fomento</t>
  </si>
  <si>
    <t>Comisiones y gastos bancarios</t>
  </si>
  <si>
    <t>Cuota auditaje CGR</t>
  </si>
  <si>
    <t>DIRECCIÓN DE PLANEACIÓN Y SEGUIMIENTO PRESUPUESTAL</t>
  </si>
  <si>
    <t>MINISTERIO DE AGRICULTURA Y DESARROLLO RURAL</t>
  </si>
  <si>
    <t>TOTAL</t>
  </si>
  <si>
    <t xml:space="preserve">     Publicidad</t>
  </si>
  <si>
    <t xml:space="preserve">     Compra de materiales y dotaciones</t>
  </si>
  <si>
    <t>Venta de publicaciones y videos de capacitación</t>
  </si>
  <si>
    <t xml:space="preserve">     Pago de auxilios de frío, flete y movilizaciones</t>
  </si>
  <si>
    <t>Regionalización</t>
  </si>
  <si>
    <t>Administración de la base de datos</t>
  </si>
  <si>
    <t>Sistemas de información de mercados</t>
  </si>
  <si>
    <t xml:space="preserve">   Divulgación</t>
  </si>
  <si>
    <t xml:space="preserve">   Capacitación</t>
  </si>
  <si>
    <t>Fortalecimiento al recaudo</t>
  </si>
  <si>
    <t>CUOTA DE ADMINISTRACIÓN</t>
  </si>
  <si>
    <t>Investigación</t>
  </si>
  <si>
    <t>Impresos y publicaciones</t>
  </si>
  <si>
    <t xml:space="preserve">Capacitación </t>
  </si>
  <si>
    <t xml:space="preserve">RESERVA FUTURAS INVERSIONES Y GASTOS </t>
  </si>
  <si>
    <t>Servicios de personal</t>
  </si>
  <si>
    <t>SUBTOTAL GASTOS PERSONAL</t>
  </si>
  <si>
    <t>SUBTOTAL GASTOS GENERALES</t>
  </si>
  <si>
    <t>TOTAL FUNCIONAMIENTO</t>
  </si>
  <si>
    <t>GASTOS DE PERSONAL</t>
  </si>
  <si>
    <t xml:space="preserve">Dotación y suministro </t>
  </si>
  <si>
    <t>Sueldos</t>
  </si>
  <si>
    <t>Gastos de viaje</t>
  </si>
  <si>
    <t xml:space="preserve">     Talleres de formación PPC</t>
  </si>
  <si>
    <t xml:space="preserve">     Asesoría internacional</t>
  </si>
  <si>
    <t>Ciclos de vacunación</t>
  </si>
  <si>
    <t>Centro de servicios técnicos y financieros</t>
  </si>
  <si>
    <t>COMSAC</t>
  </si>
  <si>
    <t>Participación en negociaciones</t>
  </si>
  <si>
    <t>Ingresos tarifas Centro de Servicios Técnicos y Financieros</t>
  </si>
  <si>
    <t>Herramientas del Centro de servicios</t>
  </si>
  <si>
    <t>Asesorías a pequeños productores</t>
  </si>
  <si>
    <t>Asesorías a medianos y grandes productores y grupos</t>
  </si>
  <si>
    <t>Actualización de información</t>
  </si>
  <si>
    <t>Auxilios de movilización de los coordinadores de recaudo</t>
  </si>
  <si>
    <t>Recolección de desechos biológicos</t>
  </si>
  <si>
    <t>Cuota de fomento porcícola</t>
  </si>
  <si>
    <t>Cuota de erradicación Peste Porcina Clásica</t>
  </si>
  <si>
    <t xml:space="preserve">     Brigadas</t>
  </si>
  <si>
    <t xml:space="preserve">     Compra de biológico, chapetas y tenazas</t>
  </si>
  <si>
    <t xml:space="preserve">TOTAL GASTOS </t>
  </si>
  <si>
    <t>INGRESOS EXTRAORDINARIOS FNP</t>
  </si>
  <si>
    <t>Contratación de personal</t>
  </si>
  <si>
    <t>Campaña de fomento al consumo</t>
  </si>
  <si>
    <t>Divulgación sectorial</t>
  </si>
  <si>
    <t>ANEXO 2</t>
  </si>
  <si>
    <t>INGRESOS PROGRAMAS Y PROYECTOS FNP</t>
  </si>
  <si>
    <t>TOTAL EXTRAORDINARIOS FNP</t>
  </si>
  <si>
    <t>INGRESOS PROGRAMAS Y PROYECTOS PPC</t>
  </si>
  <si>
    <t>TOTAL  PROGRAMAS Y PROYECTOS FNP</t>
  </si>
  <si>
    <t xml:space="preserve">  Monitoreo de Medios</t>
  </si>
  <si>
    <t xml:space="preserve">Cadena porcícola </t>
  </si>
  <si>
    <t>Seguimiento recaudo regional</t>
  </si>
  <si>
    <t xml:space="preserve">     Reunión anual</t>
  </si>
  <si>
    <t>Determinación de factores de riesgo</t>
  </si>
  <si>
    <t xml:space="preserve">Auxilios de comités de ganaderos </t>
  </si>
  <si>
    <t>Logistica barridos</t>
  </si>
  <si>
    <t xml:space="preserve">  Asesores técnicos en calidad</t>
  </si>
  <si>
    <t>ENE-MAR</t>
  </si>
  <si>
    <t>ABR-JUN</t>
  </si>
  <si>
    <t>OCT-DIC</t>
  </si>
  <si>
    <t>Comisión de Sacrificio - Trabajo con autoridades</t>
  </si>
  <si>
    <t>INGRESOS FINANCIEROS PPC</t>
  </si>
  <si>
    <t>INGRESOS FINANCIEROS FNP</t>
  </si>
  <si>
    <t>FORTALECER LA INSTITUCIONALIDAD SECTORIAL</t>
  </si>
  <si>
    <t>PROMOVER EL CONSUMO DE CARNE DE CERDO COLOMBIANA</t>
  </si>
  <si>
    <t xml:space="preserve">  Home Panel Nielsen</t>
  </si>
  <si>
    <t xml:space="preserve">  Brand Equity and Tracking</t>
  </si>
  <si>
    <t xml:space="preserve">  Eye Tracking</t>
  </si>
  <si>
    <t xml:space="preserve">  Impacto en Salud Humana II (Alergenos)</t>
  </si>
  <si>
    <t xml:space="preserve">  Nutricionistas</t>
  </si>
  <si>
    <t xml:space="preserve">  Asesores Gastronomicos</t>
  </si>
  <si>
    <t xml:space="preserve">  Actividades Dia saludable</t>
  </si>
  <si>
    <t xml:space="preserve">  Eventos Feriales</t>
  </si>
  <si>
    <t xml:space="preserve">  Capacitación anual contratistas</t>
  </si>
  <si>
    <t xml:space="preserve">  Viajes regionales equipo dia saludable</t>
  </si>
  <si>
    <t xml:space="preserve">  Campaña de publicidad</t>
  </si>
  <si>
    <t xml:space="preserve">  CRM</t>
  </si>
  <si>
    <t xml:space="preserve">  Ferias de la Carne de Cerdo</t>
  </si>
  <si>
    <t xml:space="preserve">  Pauta institucional</t>
  </si>
  <si>
    <t>FORTALECER EL ESTATUS SANITARIO Y LA PRODUCCIÓN SOSTENIBLE DEL SECTOR PORCICOLA</t>
  </si>
  <si>
    <t>FORTALECER LA GESTIÓN EMPRESARIAL E INTEGRACIÓN DE LA CADENA CARNICA PORCICOLA</t>
  </si>
  <si>
    <t>PROMOVER EL ASEGURAMIENTO DE LA CALIDAD DE LA CADENA CÁRNICA PORCINA</t>
  </si>
  <si>
    <t>Sello de respaldo</t>
  </si>
  <si>
    <t xml:space="preserve">  Otras asesorias BPM Sello de Respaldo</t>
  </si>
  <si>
    <t xml:space="preserve">  Asesorias BPM y HACCP</t>
  </si>
  <si>
    <t xml:space="preserve">  Afiliación ICONTEC</t>
  </si>
  <si>
    <t xml:space="preserve">  Asesoría internacional en calidad</t>
  </si>
  <si>
    <t>Sistema de medición y pago por calidad</t>
  </si>
  <si>
    <t xml:space="preserve">  Asesor técnico</t>
  </si>
  <si>
    <t>FORTALECER LOS SISTEMAS DE INFORMACIÓN Y GESTIONAR INTELIGENCIA DE MERCADOS</t>
  </si>
  <si>
    <t>FORTALECER EL BENEFICIO FORMAL</t>
  </si>
  <si>
    <t>GESTIONAR LA INVESTIGACIÓN Y DESARROLLO DE LA CADENA</t>
  </si>
  <si>
    <t>Control y monitoreo para la enfermedad de PRRS en granjas de Colombia</t>
  </si>
  <si>
    <t xml:space="preserve">Convenios con laboratorios privados  y oficiales registrados ante el ICA </t>
  </si>
  <si>
    <t>Programa Nacional de Mejoramiento del Estatus Sanitario</t>
  </si>
  <si>
    <t>Aseguramiento de la calidad en gestión primaria</t>
  </si>
  <si>
    <t xml:space="preserve">  Concurso sabor innovador</t>
  </si>
  <si>
    <t xml:space="preserve">    Desarrollo Sistema Unificado y Estandarizado de Desposte, Cortes y Empaques </t>
  </si>
  <si>
    <t xml:space="preserve">    Diplomado en alta gerencia de empresas porcícolas</t>
  </si>
  <si>
    <t xml:space="preserve">    Talleres para Chefs e instructores SENA</t>
  </si>
  <si>
    <t xml:space="preserve">    Diseño plan de negocios granja demostrativa SENA</t>
  </si>
  <si>
    <t xml:space="preserve">    Seminario Internacional</t>
  </si>
  <si>
    <t xml:space="preserve">    Talleres "Cómo vender más carne de cerdo"</t>
  </si>
  <si>
    <t xml:space="preserve">    Jornadas técnicas a porcicultores</t>
  </si>
  <si>
    <t xml:space="preserve">  Eventos institucionales</t>
  </si>
  <si>
    <t xml:space="preserve">  Kit publicitario</t>
  </si>
  <si>
    <t xml:space="preserve">    Acompañamiento ambiental</t>
  </si>
  <si>
    <t xml:space="preserve">    Planes operativos convenios CAR`s</t>
  </si>
  <si>
    <t xml:space="preserve">    Material de Apoyo</t>
  </si>
  <si>
    <t xml:space="preserve">  Cuota de administración FNP</t>
  </si>
  <si>
    <t xml:space="preserve">  Cuota de administración PPC</t>
  </si>
  <si>
    <t xml:space="preserve">Monitoreo Precios de la Carne al Consumidor </t>
  </si>
  <si>
    <t>Promoción de exportaciones</t>
  </si>
  <si>
    <t>Jornadas de trabajo coordinadores</t>
  </si>
  <si>
    <t>Fortalecimiento de la infraestructura de beneficio</t>
  </si>
  <si>
    <t>Vigilancia epidemiológica</t>
  </si>
  <si>
    <t>Evaluación condición  de Aujeszky en el país</t>
  </si>
  <si>
    <t xml:space="preserve">  Toma mediciones grasa dorsal pilotos</t>
  </si>
  <si>
    <t>INVESTIGACIÓN Y DESARROLLO</t>
  </si>
  <si>
    <t>TRANSFERENCIA DE TECNOLOGÍA</t>
  </si>
  <si>
    <t>Diagnóstico Rutinario</t>
  </si>
  <si>
    <t>Vigilancia de campo</t>
  </si>
  <si>
    <t>Equipos comunicación puestos control</t>
  </si>
  <si>
    <t>Depuración, verificación y codificación de predios</t>
  </si>
  <si>
    <t xml:space="preserve">   Talleres IVA, Costos</t>
  </si>
  <si>
    <t>Asesorías normatividad</t>
  </si>
  <si>
    <t>ERRADICACIÓN DE PPC</t>
  </si>
  <si>
    <t>MEJORAMIENTO DEL ESTATUS SANITARIO</t>
  </si>
  <si>
    <t>Investigación de mercados</t>
  </si>
  <si>
    <t xml:space="preserve">Convenio SENA </t>
  </si>
  <si>
    <t>Talleres y seminarios</t>
  </si>
  <si>
    <t>Sensibilización de las bondades gastronómicas</t>
  </si>
  <si>
    <t xml:space="preserve">    Capacitación equipo de trabajo</t>
  </si>
  <si>
    <t xml:space="preserve">    Guia Ambiental</t>
  </si>
  <si>
    <t xml:space="preserve">    Capacitación anual</t>
  </si>
  <si>
    <t xml:space="preserve">    Jornadas de divulgación resultados de investigación</t>
  </si>
  <si>
    <t xml:space="preserve">    Capacitación en desposte de carne de cerdo</t>
  </si>
  <si>
    <t xml:space="preserve">  Estudio para Desarrollar la marca Carne de Cerdo Colombiana.</t>
  </si>
  <si>
    <t xml:space="preserve">  Estudio LSDA</t>
  </si>
  <si>
    <t>Incentivo al consumo de la carne de cerdo en el canal institucional ( horeca)</t>
  </si>
  <si>
    <t xml:space="preserve">  Material Publicitario, Promocion y Divulgación</t>
  </si>
  <si>
    <t xml:space="preserve">  Desarrollo nuevas recetas</t>
  </si>
  <si>
    <t>Campaña Digital</t>
  </si>
  <si>
    <t xml:space="preserve">  Me encanta la canta de cerdo.com</t>
  </si>
  <si>
    <t xml:space="preserve">  Club Gourmet de la Carne de Cerdo</t>
  </si>
  <si>
    <t xml:space="preserve">  Norma de medición</t>
  </si>
  <si>
    <t xml:space="preserve">  Jornadas tecnicas y capacitación</t>
  </si>
  <si>
    <t xml:space="preserve">  Consultoria nacional</t>
  </si>
  <si>
    <t xml:space="preserve">  Pilotos Etapa de Transformación</t>
  </si>
  <si>
    <t xml:space="preserve">  Registro logo</t>
  </si>
  <si>
    <t>Puertos Aeropuertos y Pagos Fronterizos</t>
  </si>
  <si>
    <t>Convenios con las Gobernaciones</t>
  </si>
  <si>
    <t>Informes de los mercados internacionales de Carne (Gira)</t>
  </si>
  <si>
    <t>Visitas Técnicas</t>
  </si>
  <si>
    <t xml:space="preserve">Evaluación de Infraestructura existente </t>
  </si>
  <si>
    <t>Prefactibilidad de proyectos de plantas de beneficio</t>
  </si>
  <si>
    <t>ICA</t>
  </si>
  <si>
    <t>Convenio 099 Secretaria de Agricultura</t>
  </si>
  <si>
    <t>JUL-SEP</t>
  </si>
  <si>
    <t>TOTAL  FINANCIEROS PPC</t>
  </si>
  <si>
    <t>Otros ingresos extraordinarios</t>
  </si>
  <si>
    <t>Indemnizaciones</t>
  </si>
  <si>
    <t>Aprovechamientos</t>
  </si>
  <si>
    <t>Sobrantes</t>
  </si>
  <si>
    <t>Deudores</t>
  </si>
  <si>
    <t>ajuste por diferencia en cambio</t>
  </si>
  <si>
    <t>Intereses de mora</t>
  </si>
  <si>
    <t>Intereses de Deudores</t>
  </si>
  <si>
    <t>TOTAL FINANCIEROS FNP</t>
  </si>
  <si>
    <t>Sanción devolución cheque</t>
  </si>
  <si>
    <t>Aseguramiento de la calidad en la cadena de transformación (HACPP-BPM)</t>
  </si>
  <si>
    <t>Estrategias en diferenciación</t>
  </si>
  <si>
    <t xml:space="preserve">    Proyectos</t>
  </si>
  <si>
    <t xml:space="preserve">  Agroexpo</t>
  </si>
  <si>
    <t xml:space="preserve">  Seguimiento gestion HORECA </t>
  </si>
  <si>
    <t xml:space="preserve">  Vigilancia epidemiologica activa </t>
  </si>
  <si>
    <t xml:space="preserve">  Coordinacion Nacional del Programa</t>
  </si>
  <si>
    <t xml:space="preserve">  Determinar la prevalencia de PRRS, Fase II</t>
  </si>
  <si>
    <t xml:space="preserve">  Aislamiento y caracterización filogenéticamente de las cepas virales </t>
  </si>
  <si>
    <t xml:space="preserve">  Evaluación de la dinámica viral y clasificación de granjas (Zona piloto)</t>
  </si>
  <si>
    <t xml:space="preserve">  Factores de riesgo y características epidemiológicas de la enfermedad dentro y entre granja</t>
  </si>
  <si>
    <t xml:space="preserve">  Consolidar un sistema de vigilancia epidemiológica de la enfermedad entre productores, gremio y el sector oficial</t>
  </si>
  <si>
    <t xml:space="preserve">  Convenio de diagnóstico rutinario con laboratorios oficiales</t>
  </si>
  <si>
    <t xml:space="preserve">  Convenio de diagnóstico rutinario con laboratorio privados</t>
  </si>
  <si>
    <t xml:space="preserve">  Servicio de diagnóstico</t>
  </si>
  <si>
    <t xml:space="preserve">  Visitas de seguimiento</t>
  </si>
  <si>
    <t xml:space="preserve">  Evaluación periódica de bioseguridad y sanidad</t>
  </si>
  <si>
    <t xml:space="preserve">  Jornada de campo en sanidad y producción</t>
  </si>
  <si>
    <t xml:space="preserve">  Diagnóstico de laboratorio PNMES</t>
  </si>
  <si>
    <t xml:space="preserve">  Reportes One Click y Benchmarking</t>
  </si>
  <si>
    <t xml:space="preserve">  Reconocimiento a granjas categorizadas, medios regionales</t>
  </si>
  <si>
    <t xml:space="preserve">  Sensibilización y socialización resultados Enfermedad de PRRS</t>
  </si>
  <si>
    <t xml:space="preserve">  Subsidio de diagnóstico PRRS</t>
  </si>
  <si>
    <t xml:space="preserve">  Simposio Internacional de PRRS</t>
  </si>
  <si>
    <t xml:space="preserve">  Seguimiento e implementación otras ciudades</t>
  </si>
  <si>
    <t>Fenomenos Climaticos</t>
  </si>
  <si>
    <t>Asistencia a productores</t>
  </si>
  <si>
    <t xml:space="preserve">Programa IAT </t>
  </si>
  <si>
    <t xml:space="preserve">  Contrapartida FNP </t>
  </si>
  <si>
    <t>Contrapartidas Gobernaciones</t>
  </si>
  <si>
    <t>Contrapartidas FNP</t>
  </si>
  <si>
    <t>Contrapartida Gobernación Cundinamarca</t>
  </si>
  <si>
    <t>Contrapartida Gobernación Valle</t>
  </si>
  <si>
    <t>Contrapartida Gobernación Sucre</t>
  </si>
  <si>
    <t>Contrapartida Gobernación Córdoba</t>
  </si>
  <si>
    <t>Contrapartida Gobernación Meta</t>
  </si>
  <si>
    <t>Contrapartida Gobernación Antioquia</t>
  </si>
  <si>
    <t>Seguimiento a Convenios</t>
  </si>
  <si>
    <t xml:space="preserve"> Gestión ambiental en producción primaria</t>
  </si>
  <si>
    <t xml:space="preserve"> Diseño Sistema de Certificación BPP</t>
  </si>
  <si>
    <t>Apoyo Proyectos de Plantas (Cuarto Frio)</t>
  </si>
  <si>
    <t xml:space="preserve">  Consultoria MESA</t>
  </si>
  <si>
    <t>Seguimiento y acompañamiento aplicación de protocolos</t>
  </si>
  <si>
    <t>Contrapartida Pereira</t>
  </si>
  <si>
    <t>Contrapartida Ipiales</t>
  </si>
  <si>
    <t>FONDO DE EMERGENCIA</t>
  </si>
  <si>
    <t xml:space="preserve">PRESUPUESTO DEFINITIVO </t>
  </si>
  <si>
    <t>Piloto Programa Resol. 2640</t>
  </si>
  <si>
    <t>% EJECUCIÓN ENE-DIC 2013</t>
  </si>
  <si>
    <t>* El porcentaje de ejecución corresponde al total del presupuesto menos la Reserva y el Fondo de Emergencia, lo que da un total de $22.031.531.523</t>
  </si>
  <si>
    <t>EJECUCIÓN GASTOS DE FUNCIONAMIENTO E INVERSIÓN ENERO-DICIEMBRE 2.013</t>
  </si>
  <si>
    <t>EJECUCIÓN PROGRAMAS ECONÓMICA</t>
  </si>
  <si>
    <t>EJECUCIÓN PROGRAMAS TÉCNICA</t>
  </si>
  <si>
    <t>EJECUCIÓN NVESTIGACIÓN Y TRANSFERENCIA DE TÉCNOLOGÍA</t>
  </si>
  <si>
    <t>EJECUCIÓN PROGRAMA PPC</t>
  </si>
  <si>
    <t>EJECUCIÓN PROGRAMAS MERCADEO</t>
  </si>
  <si>
    <t>TOTAL EJECUCIÓN INVERSIÓN</t>
  </si>
  <si>
    <t>EJECUCIÓN GASTOS DE FUNCIONAMIENTO</t>
  </si>
  <si>
    <t>TOTAL EJECUCIÓN PRESUPUESTO</t>
  </si>
  <si>
    <t>OTROS INGRESOS VIGENCIA  2.013</t>
  </si>
  <si>
    <t>INGRESO AJUSTADO</t>
  </si>
  <si>
    <t>Ajuste pago de impuestos</t>
  </si>
  <si>
    <t>43900401-43900506</t>
  </si>
  <si>
    <t>Feria de la carne de cerdo</t>
  </si>
  <si>
    <t>Intereses sobre depósitos</t>
  </si>
  <si>
    <t>Reembolso gastos de envío</t>
  </si>
  <si>
    <t>48104901/4810090301</t>
  </si>
  <si>
    <t>Extraordinarios</t>
  </si>
  <si>
    <t>Arrendamiento</t>
  </si>
  <si>
    <t>CAR (Técnica)</t>
  </si>
  <si>
    <t>48109018</t>
  </si>
  <si>
    <t>Convenio Colciencias</t>
  </si>
  <si>
    <t>Convenio de diagnostico rutinario con laboratorios oficiales(Técnica)</t>
  </si>
  <si>
    <t>Carta 3 -Seguimiento y acompañamiento aplicación de protocolos(Técnica)</t>
  </si>
  <si>
    <t>Diagnostico de laboratorios PNMES(Técnica)</t>
  </si>
  <si>
    <t>Control y monitoreo para la enfermedad PRRSS en Colombia</t>
  </si>
  <si>
    <t>Porcinino  2013(Mercadeo)</t>
  </si>
  <si>
    <t>Diplomado Convenio SENA(Transferencia)</t>
  </si>
  <si>
    <t>43900509-43900512</t>
  </si>
  <si>
    <t>Seminarios Tecnologiá Carne de cerdo</t>
  </si>
  <si>
    <t>Convenios con las Gobernaciones(Económica)</t>
  </si>
  <si>
    <t>Proyecto IAT(Contrapartida MADR)(Económica)</t>
  </si>
  <si>
    <t>Seminario Actualización Porcicultura</t>
  </si>
  <si>
    <t>Seminario Internacional PRRS (Técnica)</t>
  </si>
  <si>
    <t>Ajuste por diferencia en cambio</t>
  </si>
  <si>
    <t>Recuperaciones</t>
  </si>
  <si>
    <t xml:space="preserve">Otros Ingresos  </t>
  </si>
  <si>
    <t>Ajuste Pago Impuestos</t>
  </si>
  <si>
    <t>Sanciones</t>
  </si>
  <si>
    <t>ACUERDO 5/14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</si>
</sst>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.00\ _€_-;\-* #,##0.00\ _€_-;_-* &quot;-&quot;??\ _€_-;_-@_-"/>
    <numFmt numFmtId="179" formatCode="_ &quot;$&quot;\ * #,##0_ ;_ &quot;$&quot;\ * \-#,##0_ ;_ &quot;$&quot;\ * &quot;-&quot;_ ;_ @_ "/>
    <numFmt numFmtId="180" formatCode="_ * #,##0_ ;_ * \-#,##0_ ;_ * &quot;-&quot;_ ;_ @_ 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_ * #,##0_ ;_ * \-#,##0_ ;_ * &quot;-&quot;??_ ;_ @_ "/>
    <numFmt numFmtId="184" formatCode="0.0%"/>
    <numFmt numFmtId="185" formatCode="_(* #,##0_);_(* \(#,##0\);_(* &quot;-&quot;??_);_(@_)"/>
    <numFmt numFmtId="186" formatCode="_(* #,##0.000_);_(* \(#,##0.000\);_(* &quot;-&quot;??_);_(@_)"/>
    <numFmt numFmtId="187" formatCode="0.000%"/>
    <numFmt numFmtId="188" formatCode="&quot;$&quot;\ #,##0"/>
    <numFmt numFmtId="189" formatCode="_-* #,##0\ _€_-;\-* #,##0\ _€_-;_-* &quot;-&quot;??\ _€_-;_-@_-"/>
    <numFmt numFmtId="190" formatCode="_ &quot;$&quot;\ * #,##0_ ;_ &quot;$&quot;\ * \-#,##0_ ;_ &quot;$&quot;\ * &quot;-&quot;??_ ;_ @_ "/>
    <numFmt numFmtId="191" formatCode="[$$-240A]\ #,##0.00"/>
    <numFmt numFmtId="192" formatCode="0.0"/>
    <numFmt numFmtId="193" formatCode="[$$-240A]\ #,##0.0"/>
    <numFmt numFmtId="194" formatCode="0.0000"/>
    <numFmt numFmtId="195" formatCode="#,##0.00000"/>
    <numFmt numFmtId="196" formatCode="_ [$€-2]\ * #,##0.00_ ;_ [$€-2]\ * \-#,##0.00_ ;_ [$€-2]\ * &quot;-&quot;??_ "/>
    <numFmt numFmtId="197" formatCode="_-* #,##0_-;\-* #,##0_-;_-* &quot;-&quot;??_-;_-@_-"/>
    <numFmt numFmtId="198" formatCode="[$$-240A]\ #,##0"/>
    <numFmt numFmtId="199" formatCode="_-* #,##0.00\ &quot;Pts&quot;_-;\-* #,##0.00\ &quot;Pts&quot;_-;_-* &quot;-&quot;??\ &quot;Pts&quot;_-;_-@_-"/>
    <numFmt numFmtId="200" formatCode="_ * #,##0.000_ ;_ * \-#,##0.000_ ;_ * &quot;-&quot;??_ ;_ @_ "/>
    <numFmt numFmtId="201" formatCode="_ * #,##0.0_ ;_ * \-#,##0.0_ ;_ * &quot;-&quot;??_ ;_ @_ 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-* #,##0\ _$_-;\-* #,##0\ _$_-;_-* &quot;-&quot;\ _$_-;_-@_-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_-* #,##0.0_-;\-* #,##0.0_-;_-* &quot;-&quot;??_-;_-@_-"/>
    <numFmt numFmtId="211" formatCode="[$$-240A]\ #,##0_);\([$$-240A]\ #,##0\)"/>
    <numFmt numFmtId="212" formatCode="#,##0.000"/>
    <numFmt numFmtId="213" formatCode="#,##0.0000000"/>
    <numFmt numFmtId="214" formatCode="#,##0.000000"/>
    <numFmt numFmtId="215" formatCode="0.0000%"/>
    <numFmt numFmtId="216" formatCode="0.00000%"/>
    <numFmt numFmtId="217" formatCode="0.000000%"/>
    <numFmt numFmtId="218" formatCode="0.0000000%"/>
    <numFmt numFmtId="219" formatCode="0.00000000%"/>
    <numFmt numFmtId="220" formatCode="[$$-240A]\ #,##0.000"/>
    <numFmt numFmtId="221" formatCode="[$$-240A]\ #,##0.0000"/>
    <numFmt numFmtId="222" formatCode="_(* #,##0.0_);_(* \(#,##0.0\);_(* &quot;-&quot;??_);_(@_)"/>
  </numFmts>
  <fonts count="64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omic Sans MS"/>
      <family val="4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5" borderId="0" applyNumberFormat="0" applyBorder="0" applyAlignment="0" applyProtection="0"/>
    <xf numFmtId="0" fontId="44" fillId="6" borderId="0" applyNumberFormat="0" applyBorder="0" applyAlignment="0" applyProtection="0"/>
    <xf numFmtId="0" fontId="17" fillId="7" borderId="0" applyNumberFormat="0" applyBorder="0" applyAlignment="0" applyProtection="0"/>
    <xf numFmtId="0" fontId="44" fillId="8" borderId="0" applyNumberFormat="0" applyBorder="0" applyAlignment="0" applyProtection="0"/>
    <xf numFmtId="0" fontId="17" fillId="9" borderId="0" applyNumberFormat="0" applyBorder="0" applyAlignment="0" applyProtection="0"/>
    <xf numFmtId="0" fontId="44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17" fillId="13" borderId="0" applyNumberFormat="0" applyBorder="0" applyAlignment="0" applyProtection="0"/>
    <xf numFmtId="0" fontId="44" fillId="14" borderId="0" applyNumberFormat="0" applyBorder="0" applyAlignment="0" applyProtection="0"/>
    <xf numFmtId="0" fontId="17" fillId="15" borderId="0" applyNumberFormat="0" applyBorder="0" applyAlignment="0" applyProtection="0"/>
    <xf numFmtId="0" fontId="44" fillId="16" borderId="0" applyNumberFormat="0" applyBorder="0" applyAlignment="0" applyProtection="0"/>
    <xf numFmtId="0" fontId="17" fillId="17" borderId="0" applyNumberFormat="0" applyBorder="0" applyAlignment="0" applyProtection="0"/>
    <xf numFmtId="0" fontId="44" fillId="18" borderId="0" applyNumberFormat="0" applyBorder="0" applyAlignment="0" applyProtection="0"/>
    <xf numFmtId="0" fontId="17" fillId="19" borderId="0" applyNumberFormat="0" applyBorder="0" applyAlignment="0" applyProtection="0"/>
    <xf numFmtId="0" fontId="44" fillId="20" borderId="0" applyNumberFormat="0" applyBorder="0" applyAlignment="0" applyProtection="0"/>
    <xf numFmtId="0" fontId="17" fillId="9" borderId="0" applyNumberFormat="0" applyBorder="0" applyAlignment="0" applyProtection="0"/>
    <xf numFmtId="0" fontId="44" fillId="21" borderId="0" applyNumberFormat="0" applyBorder="0" applyAlignment="0" applyProtection="0"/>
    <xf numFmtId="0" fontId="17" fillId="15" borderId="0" applyNumberFormat="0" applyBorder="0" applyAlignment="0" applyProtection="0"/>
    <xf numFmtId="0" fontId="44" fillId="22" borderId="0" applyNumberFormat="0" applyBorder="0" applyAlignment="0" applyProtection="0"/>
    <xf numFmtId="0" fontId="17" fillId="23" borderId="0" applyNumberFormat="0" applyBorder="0" applyAlignment="0" applyProtection="0"/>
    <xf numFmtId="0" fontId="10" fillId="19" borderId="0" applyNumberFormat="0" applyBorder="0" applyAlignment="0" applyProtection="0"/>
    <xf numFmtId="0" fontId="45" fillId="24" borderId="0" applyNumberFormat="0" applyBorder="0" applyAlignment="0" applyProtection="0"/>
    <xf numFmtId="0" fontId="18" fillId="25" borderId="0" applyNumberFormat="0" applyBorder="0" applyAlignment="0" applyProtection="0"/>
    <xf numFmtId="0" fontId="45" fillId="26" borderId="0" applyNumberFormat="0" applyBorder="0" applyAlignment="0" applyProtection="0"/>
    <xf numFmtId="0" fontId="18" fillId="17" borderId="0" applyNumberFormat="0" applyBorder="0" applyAlignment="0" applyProtection="0"/>
    <xf numFmtId="0" fontId="45" fillId="27" borderId="0" applyNumberFormat="0" applyBorder="0" applyAlignment="0" applyProtection="0"/>
    <xf numFmtId="0" fontId="18" fillId="19" borderId="0" applyNumberFormat="0" applyBorder="0" applyAlignment="0" applyProtection="0"/>
    <xf numFmtId="0" fontId="45" fillId="28" borderId="0" applyNumberFormat="0" applyBorder="0" applyAlignment="0" applyProtection="0"/>
    <xf numFmtId="0" fontId="18" fillId="29" borderId="0" applyNumberFormat="0" applyBorder="0" applyAlignment="0" applyProtection="0"/>
    <xf numFmtId="0" fontId="45" fillId="30" borderId="0" applyNumberFormat="0" applyBorder="0" applyAlignment="0" applyProtection="0"/>
    <xf numFmtId="0" fontId="18" fillId="31" borderId="0" applyNumberFormat="0" applyBorder="0" applyAlignment="0" applyProtection="0"/>
    <xf numFmtId="0" fontId="45" fillId="32" borderId="0" applyNumberFormat="0" applyBorder="0" applyAlignment="0" applyProtection="0"/>
    <xf numFmtId="0" fontId="18" fillId="33" borderId="0" applyNumberFormat="0" applyBorder="0" applyAlignment="0" applyProtection="0"/>
    <xf numFmtId="0" fontId="46" fillId="34" borderId="0" applyNumberFormat="0" applyBorder="0" applyAlignment="0" applyProtection="0"/>
    <xf numFmtId="0" fontId="19" fillId="7" borderId="0" applyNumberFormat="0" applyBorder="0" applyAlignment="0" applyProtection="0"/>
    <xf numFmtId="0" fontId="47" fillId="35" borderId="1" applyNumberFormat="0" applyAlignment="0" applyProtection="0"/>
    <xf numFmtId="0" fontId="20" fillId="36" borderId="2" applyNumberFormat="0" applyAlignment="0" applyProtection="0"/>
    <xf numFmtId="0" fontId="48" fillId="37" borderId="3" applyNumberFormat="0" applyAlignment="0" applyProtection="0"/>
    <xf numFmtId="0" fontId="21" fillId="38" borderId="4" applyNumberFormat="0" applyAlignment="0" applyProtection="0"/>
    <xf numFmtId="0" fontId="49" fillId="0" borderId="5" applyNumberFormat="0" applyFill="0" applyAlignment="0" applyProtection="0"/>
    <xf numFmtId="0" fontId="22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18" fillId="40" borderId="0" applyNumberFormat="0" applyBorder="0" applyAlignment="0" applyProtection="0"/>
    <xf numFmtId="0" fontId="45" fillId="41" borderId="0" applyNumberFormat="0" applyBorder="0" applyAlignment="0" applyProtection="0"/>
    <xf numFmtId="0" fontId="18" fillId="42" borderId="0" applyNumberFormat="0" applyBorder="0" applyAlignment="0" applyProtection="0"/>
    <xf numFmtId="0" fontId="45" fillId="43" borderId="0" applyNumberFormat="0" applyBorder="0" applyAlignment="0" applyProtection="0"/>
    <xf numFmtId="0" fontId="18" fillId="44" borderId="0" applyNumberFormat="0" applyBorder="0" applyAlignment="0" applyProtection="0"/>
    <xf numFmtId="0" fontId="45" fillId="45" borderId="0" applyNumberFormat="0" applyBorder="0" applyAlignment="0" applyProtection="0"/>
    <xf numFmtId="0" fontId="18" fillId="29" borderId="0" applyNumberFormat="0" applyBorder="0" applyAlignment="0" applyProtection="0"/>
    <xf numFmtId="0" fontId="45" fillId="46" borderId="0" applyNumberFormat="0" applyBorder="0" applyAlignment="0" applyProtection="0"/>
    <xf numFmtId="0" fontId="18" fillId="31" borderId="0" applyNumberFormat="0" applyBorder="0" applyAlignment="0" applyProtection="0"/>
    <xf numFmtId="0" fontId="45" fillId="47" borderId="0" applyNumberFormat="0" applyBorder="0" applyAlignment="0" applyProtection="0"/>
    <xf numFmtId="0" fontId="18" fillId="48" borderId="0" applyNumberFormat="0" applyBorder="0" applyAlignment="0" applyProtection="0"/>
    <xf numFmtId="0" fontId="52" fillId="49" borderId="1" applyNumberFormat="0" applyAlignment="0" applyProtection="0"/>
    <xf numFmtId="0" fontId="23" fillId="13" borderId="2" applyNumberFormat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4" fillId="5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35" borderId="10" applyNumberFormat="0" applyAlignment="0" applyProtection="0"/>
    <xf numFmtId="0" fontId="26" fillId="36" borderId="11" applyNumberFormat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59" fillId="0" borderId="13" applyNumberFormat="0" applyFill="0" applyAlignment="0" applyProtection="0"/>
    <xf numFmtId="0" fontId="16" fillId="0" borderId="14" applyNumberFormat="0" applyFill="0" applyAlignment="0" applyProtection="0"/>
    <xf numFmtId="0" fontId="51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9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/>
    </xf>
    <xf numFmtId="37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9" xfId="0" applyFont="1" applyFill="1" applyBorder="1" applyAlignment="1">
      <alignment horizontal="left" indent="1"/>
    </xf>
    <xf numFmtId="37" fontId="3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 indent="1"/>
    </xf>
    <xf numFmtId="0" fontId="3" fillId="0" borderId="21" xfId="0" applyFont="1" applyFill="1" applyBorder="1" applyAlignment="1">
      <alignment/>
    </xf>
    <xf numFmtId="37" fontId="3" fillId="0" borderId="19" xfId="0" applyNumberFormat="1" applyFont="1" applyFill="1" applyBorder="1" applyAlignment="1">
      <alignment horizontal="left"/>
    </xf>
    <xf numFmtId="0" fontId="8" fillId="14" borderId="19" xfId="0" applyFont="1" applyFill="1" applyBorder="1" applyAlignment="1">
      <alignment wrapText="1"/>
    </xf>
    <xf numFmtId="0" fontId="3" fillId="55" borderId="19" xfId="0" applyFont="1" applyFill="1" applyBorder="1" applyAlignment="1">
      <alignment horizontal="left" indent="1"/>
    </xf>
    <xf numFmtId="37" fontId="8" fillId="55" borderId="19" xfId="0" applyNumberFormat="1" applyFont="1" applyFill="1" applyBorder="1" applyAlignment="1">
      <alignment/>
    </xf>
    <xf numFmtId="0" fontId="3" fillId="55" borderId="22" xfId="0" applyFont="1" applyFill="1" applyBorder="1" applyAlignment="1">
      <alignment horizontal="left" indent="1"/>
    </xf>
    <xf numFmtId="37" fontId="3" fillId="55" borderId="19" xfId="0" applyNumberFormat="1" applyFont="1" applyFill="1" applyBorder="1" applyAlignment="1">
      <alignment horizontal="left"/>
    </xf>
    <xf numFmtId="37" fontId="3" fillId="55" borderId="19" xfId="0" applyNumberFormat="1" applyFont="1" applyFill="1" applyBorder="1" applyAlignment="1">
      <alignment horizontal="left"/>
    </xf>
    <xf numFmtId="37" fontId="3" fillId="55" borderId="19" xfId="0" applyNumberFormat="1" applyFont="1" applyFill="1" applyBorder="1" applyAlignment="1">
      <alignment/>
    </xf>
    <xf numFmtId="37" fontId="8" fillId="55" borderId="19" xfId="0" applyNumberFormat="1" applyFont="1" applyFill="1" applyBorder="1" applyAlignment="1">
      <alignment/>
    </xf>
    <xf numFmtId="0" fontId="8" fillId="55" borderId="19" xfId="0" applyFont="1" applyFill="1" applyBorder="1" applyAlignment="1">
      <alignment/>
    </xf>
    <xf numFmtId="0" fontId="3" fillId="55" borderId="19" xfId="0" applyFont="1" applyFill="1" applyBorder="1" applyAlignment="1">
      <alignment horizontal="left" indent="1"/>
    </xf>
    <xf numFmtId="0" fontId="3" fillId="55" borderId="20" xfId="0" applyFont="1" applyFill="1" applyBorder="1" applyAlignment="1">
      <alignment horizontal="left" indent="1"/>
    </xf>
    <xf numFmtId="0" fontId="3" fillId="55" borderId="20" xfId="0" applyFont="1" applyFill="1" applyBorder="1" applyAlignment="1">
      <alignment horizontal="left" indent="1"/>
    </xf>
    <xf numFmtId="3" fontId="8" fillId="55" borderId="19" xfId="0" applyNumberFormat="1" applyFont="1" applyFill="1" applyBorder="1" applyAlignment="1">
      <alignment/>
    </xf>
    <xf numFmtId="0" fontId="3" fillId="0" borderId="0" xfId="132" applyFont="1" applyFill="1">
      <alignment/>
      <protection/>
    </xf>
    <xf numFmtId="37" fontId="8" fillId="55" borderId="19" xfId="0" applyNumberFormat="1" applyFont="1" applyFill="1" applyBorder="1" applyAlignment="1">
      <alignment horizontal="left"/>
    </xf>
    <xf numFmtId="0" fontId="3" fillId="0" borderId="0" xfId="132" applyFont="1">
      <alignment/>
      <protection/>
    </xf>
    <xf numFmtId="0" fontId="7" fillId="0" borderId="0" xfId="132" applyFont="1">
      <alignment/>
      <protection/>
    </xf>
    <xf numFmtId="183" fontId="8" fillId="36" borderId="23" xfId="132" applyNumberFormat="1" applyFont="1" applyFill="1" applyBorder="1">
      <alignment/>
      <protection/>
    </xf>
    <xf numFmtId="183" fontId="3" fillId="55" borderId="23" xfId="103" applyNumberFormat="1" applyFont="1" applyFill="1" applyBorder="1" applyAlignment="1">
      <alignment/>
    </xf>
    <xf numFmtId="183" fontId="3" fillId="0" borderId="23" xfId="103" applyNumberFormat="1" applyFont="1" applyFill="1" applyBorder="1" applyAlignment="1">
      <alignment/>
    </xf>
    <xf numFmtId="0" fontId="3" fillId="0" borderId="24" xfId="132" applyFont="1" applyFill="1" applyBorder="1" applyAlignment="1">
      <alignment horizontal="left" wrapText="1"/>
      <protection/>
    </xf>
    <xf numFmtId="0" fontId="3" fillId="0" borderId="25" xfId="132" applyFont="1" applyFill="1" applyBorder="1" applyAlignment="1">
      <alignment horizontal="left" wrapText="1"/>
      <protection/>
    </xf>
    <xf numFmtId="0" fontId="8" fillId="36" borderId="23" xfId="132" applyFont="1" applyFill="1" applyBorder="1" applyAlignment="1">
      <alignment horizontal="center"/>
      <protection/>
    </xf>
    <xf numFmtId="0" fontId="8" fillId="0" borderId="0" xfId="132" applyFont="1" applyFill="1" applyBorder="1" applyAlignment="1">
      <alignment horizontal="center"/>
      <protection/>
    </xf>
    <xf numFmtId="183" fontId="3" fillId="0" borderId="23" xfId="103" applyNumberFormat="1" applyFont="1" applyFill="1" applyBorder="1" applyAlignment="1">
      <alignment/>
    </xf>
    <xf numFmtId="183" fontId="8" fillId="0" borderId="23" xfId="103" applyNumberFormat="1" applyFont="1" applyFill="1" applyBorder="1" applyAlignment="1">
      <alignment/>
    </xf>
    <xf numFmtId="0" fontId="8" fillId="0" borderId="24" xfId="132" applyFont="1" applyFill="1" applyBorder="1" applyAlignment="1">
      <alignment horizontal="left" wrapText="1"/>
      <protection/>
    </xf>
    <xf numFmtId="0" fontId="8" fillId="0" borderId="25" xfId="132" applyFont="1" applyFill="1" applyBorder="1" applyAlignment="1">
      <alignment horizontal="left" wrapText="1"/>
      <protection/>
    </xf>
    <xf numFmtId="0" fontId="3" fillId="56" borderId="0" xfId="132" applyFont="1" applyFill="1" applyBorder="1">
      <alignment/>
      <protection/>
    </xf>
    <xf numFmtId="0" fontId="3" fillId="0" borderId="0" xfId="132" applyFont="1" applyFill="1" applyBorder="1">
      <alignment/>
      <protection/>
    </xf>
    <xf numFmtId="0" fontId="3" fillId="0" borderId="0" xfId="132" applyFont="1">
      <alignment/>
      <protection/>
    </xf>
    <xf numFmtId="0" fontId="8" fillId="55" borderId="19" xfId="0" applyFont="1" applyFill="1" applyBorder="1" applyAlignment="1">
      <alignment horizontal="left" indent="1"/>
    </xf>
    <xf numFmtId="0" fontId="3" fillId="55" borderId="19" xfId="0" applyFont="1" applyFill="1" applyBorder="1" applyAlignment="1">
      <alignment/>
    </xf>
    <xf numFmtId="3" fontId="8" fillId="55" borderId="19" xfId="0" applyNumberFormat="1" applyFont="1" applyFill="1" applyBorder="1" applyAlignment="1">
      <alignment/>
    </xf>
    <xf numFmtId="37" fontId="8" fillId="0" borderId="19" xfId="0" applyNumberFormat="1" applyFont="1" applyFill="1" applyBorder="1" applyAlignment="1">
      <alignment/>
    </xf>
    <xf numFmtId="0" fontId="8" fillId="55" borderId="19" xfId="0" applyFont="1" applyFill="1" applyBorder="1" applyAlignment="1">
      <alignment/>
    </xf>
    <xf numFmtId="10" fontId="3" fillId="0" borderId="2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8" fillId="55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/>
    </xf>
    <xf numFmtId="10" fontId="3" fillId="0" borderId="26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55" borderId="28" xfId="0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10" fontId="8" fillId="0" borderId="26" xfId="0" applyNumberFormat="1" applyFont="1" applyFill="1" applyBorder="1" applyAlignment="1">
      <alignment/>
    </xf>
    <xf numFmtId="3" fontId="8" fillId="14" borderId="28" xfId="0" applyNumberFormat="1" applyFont="1" applyFill="1" applyBorder="1" applyAlignment="1">
      <alignment/>
    </xf>
    <xf numFmtId="10" fontId="8" fillId="14" borderId="26" xfId="0" applyNumberFormat="1" applyFont="1" applyFill="1" applyBorder="1" applyAlignment="1">
      <alignment/>
    </xf>
    <xf numFmtId="0" fontId="0" fillId="55" borderId="0" xfId="0" applyFill="1" applyAlignment="1">
      <alignment/>
    </xf>
    <xf numFmtId="3" fontId="8" fillId="55" borderId="28" xfId="0" applyNumberFormat="1" applyFont="1" applyFill="1" applyBorder="1" applyAlignment="1">
      <alignment/>
    </xf>
    <xf numFmtId="0" fontId="8" fillId="55" borderId="28" xfId="0" applyFont="1" applyFill="1" applyBorder="1" applyAlignment="1">
      <alignment/>
    </xf>
    <xf numFmtId="10" fontId="8" fillId="55" borderId="2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3" fillId="55" borderId="28" xfId="0" applyNumberFormat="1" applyFont="1" applyFill="1" applyBorder="1" applyAlignment="1">
      <alignment/>
    </xf>
    <xf numFmtId="3" fontId="3" fillId="55" borderId="28" xfId="0" applyNumberFormat="1" applyFont="1" applyFill="1" applyBorder="1" applyAlignment="1">
      <alignment/>
    </xf>
    <xf numFmtId="10" fontId="3" fillId="55" borderId="26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183" fontId="8" fillId="55" borderId="28" xfId="93" applyNumberFormat="1" applyFont="1" applyFill="1" applyBorder="1" applyAlignment="1">
      <alignment/>
    </xf>
    <xf numFmtId="37" fontId="8" fillId="55" borderId="19" xfId="0" applyNumberFormat="1" applyFont="1" applyFill="1" applyBorder="1" applyAlignment="1">
      <alignment horizontal="left" wrapText="1"/>
    </xf>
    <xf numFmtId="3" fontId="8" fillId="55" borderId="28" xfId="0" applyNumberFormat="1" applyFont="1" applyFill="1" applyBorder="1" applyAlignment="1">
      <alignment/>
    </xf>
    <xf numFmtId="10" fontId="8" fillId="55" borderId="26" xfId="0" applyNumberFormat="1" applyFont="1" applyFill="1" applyBorder="1" applyAlignment="1">
      <alignment/>
    </xf>
    <xf numFmtId="37" fontId="8" fillId="55" borderId="19" xfId="0" applyNumberFormat="1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3" fillId="55" borderId="28" xfId="0" applyFont="1" applyFill="1" applyBorder="1" applyAlignment="1">
      <alignment/>
    </xf>
    <xf numFmtId="0" fontId="8" fillId="55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83" fontId="8" fillId="55" borderId="28" xfId="0" applyNumberFormat="1" applyFont="1" applyFill="1" applyBorder="1" applyAlignment="1">
      <alignment/>
    </xf>
    <xf numFmtId="183" fontId="3" fillId="55" borderId="28" xfId="93" applyNumberFormat="1" applyFont="1" applyFill="1" applyBorder="1" applyAlignment="1">
      <alignment/>
    </xf>
    <xf numFmtId="183" fontId="3" fillId="0" borderId="28" xfId="93" applyNumberFormat="1" applyFont="1" applyFill="1" applyBorder="1" applyAlignment="1">
      <alignment/>
    </xf>
    <xf numFmtId="183" fontId="3" fillId="55" borderId="28" xfId="0" applyNumberFormat="1" applyFont="1" applyFill="1" applyBorder="1" applyAlignment="1">
      <alignment/>
    </xf>
    <xf numFmtId="10" fontId="3" fillId="55" borderId="26" xfId="0" applyNumberFormat="1" applyFont="1" applyFill="1" applyBorder="1" applyAlignment="1">
      <alignment/>
    </xf>
    <xf numFmtId="183" fontId="8" fillId="55" borderId="28" xfId="103" applyNumberFormat="1" applyFont="1" applyFill="1" applyBorder="1" applyAlignment="1">
      <alignment/>
    </xf>
    <xf numFmtId="183" fontId="3" fillId="55" borderId="28" xfId="103" applyNumberFormat="1" applyFont="1" applyFill="1" applyBorder="1" applyAlignment="1">
      <alignment/>
    </xf>
    <xf numFmtId="183" fontId="8" fillId="55" borderId="28" xfId="103" applyNumberFormat="1" applyFont="1" applyFill="1" applyBorder="1" applyAlignment="1">
      <alignment/>
    </xf>
    <xf numFmtId="10" fontId="8" fillId="55" borderId="26" xfId="103" applyNumberFormat="1" applyFont="1" applyFill="1" applyBorder="1" applyAlignment="1">
      <alignment/>
    </xf>
    <xf numFmtId="10" fontId="3" fillId="55" borderId="26" xfId="103" applyNumberFormat="1" applyFont="1" applyFill="1" applyBorder="1" applyAlignment="1">
      <alignment/>
    </xf>
    <xf numFmtId="183" fontId="3" fillId="0" borderId="28" xfId="103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61" fillId="0" borderId="29" xfId="0" applyNumberFormat="1" applyFont="1" applyFill="1" applyBorder="1" applyAlignment="1">
      <alignment/>
    </xf>
    <xf numFmtId="10" fontId="3" fillId="0" borderId="3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2" fontId="1" fillId="0" borderId="0" xfId="93" applyFont="1" applyFill="1" applyAlignment="1">
      <alignment/>
    </xf>
    <xf numFmtId="10" fontId="1" fillId="0" borderId="0" xfId="93" applyNumberFormat="1" applyFont="1" applyFill="1" applyAlignment="1">
      <alignment/>
    </xf>
    <xf numFmtId="10" fontId="1" fillId="0" borderId="0" xfId="147" applyNumberFormat="1" applyFont="1" applyFill="1" applyAlignment="1">
      <alignment/>
    </xf>
    <xf numFmtId="3" fontId="9" fillId="55" borderId="31" xfId="0" applyNumberFormat="1" applyFont="1" applyFill="1" applyBorder="1" applyAlignment="1">
      <alignment horizontal="centerContinuous"/>
    </xf>
    <xf numFmtId="3" fontId="8" fillId="55" borderId="31" xfId="0" applyNumberFormat="1" applyFont="1" applyFill="1" applyBorder="1" applyAlignment="1">
      <alignment horizontal="centerContinuous"/>
    </xf>
    <xf numFmtId="0" fontId="9" fillId="55" borderId="31" xfId="0" applyFont="1" applyFill="1" applyBorder="1" applyAlignment="1">
      <alignment horizontal="centerContinuous"/>
    </xf>
    <xf numFmtId="0" fontId="8" fillId="55" borderId="31" xfId="0" applyFont="1" applyFill="1" applyBorder="1" applyAlignment="1">
      <alignment horizontal="centerContinuous"/>
    </xf>
    <xf numFmtId="0" fontId="62" fillId="55" borderId="31" xfId="0" applyFont="1" applyFill="1" applyBorder="1" applyAlignment="1">
      <alignment horizontal="centerContinuous"/>
    </xf>
    <xf numFmtId="10" fontId="0" fillId="55" borderId="0" xfId="0" applyNumberFormat="1" applyFill="1" applyAlignment="1">
      <alignment/>
    </xf>
    <xf numFmtId="0" fontId="8" fillId="55" borderId="32" xfId="0" applyFont="1" applyFill="1" applyBorder="1" applyAlignment="1">
      <alignment horizontal="center" vertical="center"/>
    </xf>
    <xf numFmtId="10" fontId="8" fillId="55" borderId="33" xfId="0" applyNumberFormat="1" applyFont="1" applyFill="1" applyBorder="1" applyAlignment="1">
      <alignment horizontal="center" vertical="center" wrapText="1"/>
    </xf>
    <xf numFmtId="3" fontId="8" fillId="55" borderId="19" xfId="0" applyNumberFormat="1" applyFont="1" applyFill="1" applyBorder="1" applyAlignment="1">
      <alignment/>
    </xf>
    <xf numFmtId="3" fontId="3" fillId="55" borderId="19" xfId="0" applyNumberFormat="1" applyFont="1" applyFill="1" applyBorder="1" applyAlignment="1">
      <alignment/>
    </xf>
    <xf numFmtId="183" fontId="8" fillId="55" borderId="28" xfId="93" applyNumberFormat="1" applyFont="1" applyFill="1" applyBorder="1" applyAlignment="1">
      <alignment/>
    </xf>
    <xf numFmtId="0" fontId="8" fillId="55" borderId="19" xfId="0" applyFont="1" applyFill="1" applyBorder="1" applyAlignment="1">
      <alignment/>
    </xf>
    <xf numFmtId="0" fontId="3" fillId="55" borderId="19" xfId="0" applyFont="1" applyFill="1" applyBorder="1" applyAlignment="1">
      <alignment/>
    </xf>
    <xf numFmtId="183" fontId="3" fillId="55" borderId="28" xfId="103" applyNumberFormat="1" applyFont="1" applyFill="1" applyBorder="1" applyAlignment="1">
      <alignment/>
    </xf>
    <xf numFmtId="182" fontId="1" fillId="0" borderId="0" xfId="83" applyFont="1" applyFill="1" applyAlignment="1">
      <alignment/>
    </xf>
    <xf numFmtId="10" fontId="3" fillId="0" borderId="26" xfId="103" applyNumberFormat="1" applyFont="1" applyFill="1" applyBorder="1" applyAlignment="1">
      <alignment/>
    </xf>
    <xf numFmtId="183" fontId="3" fillId="55" borderId="28" xfId="93" applyNumberFormat="1" applyFont="1" applyFill="1" applyBorder="1" applyAlignment="1">
      <alignment/>
    </xf>
    <xf numFmtId="0" fontId="8" fillId="36" borderId="23" xfId="132" applyFont="1" applyFill="1" applyBorder="1" applyAlignment="1">
      <alignment horizontal="center" vertical="center" wrapText="1"/>
      <protection/>
    </xf>
    <xf numFmtId="0" fontId="8" fillId="23" borderId="23" xfId="132" applyFont="1" applyFill="1" applyBorder="1" applyAlignment="1">
      <alignment horizontal="center" vertical="center" wrapText="1"/>
      <protection/>
    </xf>
    <xf numFmtId="0" fontId="8" fillId="36" borderId="24" xfId="132" applyFont="1" applyFill="1" applyBorder="1" applyAlignment="1">
      <alignment horizontal="center" vertical="center" wrapText="1"/>
      <protection/>
    </xf>
    <xf numFmtId="0" fontId="8" fillId="23" borderId="24" xfId="132" applyFont="1" applyFill="1" applyBorder="1" applyAlignment="1">
      <alignment horizontal="center" vertical="center" wrapText="1"/>
      <protection/>
    </xf>
    <xf numFmtId="0" fontId="8" fillId="36" borderId="23" xfId="132" applyFont="1" applyFill="1" applyBorder="1" applyAlignment="1">
      <alignment horizontal="center" vertical="center"/>
      <protection/>
    </xf>
    <xf numFmtId="197" fontId="3" fillId="0" borderId="0" xfId="104" applyNumberFormat="1" applyFont="1" applyAlignment="1">
      <alignment/>
    </xf>
    <xf numFmtId="0" fontId="3" fillId="0" borderId="24" xfId="132" applyFont="1" applyFill="1" applyBorder="1" applyAlignment="1" quotePrefix="1">
      <alignment horizontal="left" wrapText="1"/>
      <protection/>
    </xf>
    <xf numFmtId="183" fontId="3" fillId="0" borderId="0" xfId="132" applyNumberFormat="1" applyFont="1">
      <alignment/>
      <protection/>
    </xf>
    <xf numFmtId="197" fontId="3" fillId="0" borderId="0" xfId="132" applyNumberFormat="1" applyFont="1">
      <alignment/>
      <protection/>
    </xf>
    <xf numFmtId="0" fontId="8" fillId="0" borderId="0" xfId="132" applyFont="1" applyFill="1" applyBorder="1" applyAlignment="1">
      <alignment/>
      <protection/>
    </xf>
    <xf numFmtId="197" fontId="8" fillId="0" borderId="0" xfId="104" applyNumberFormat="1" applyFont="1" applyFill="1" applyBorder="1" applyAlignment="1">
      <alignment/>
    </xf>
    <xf numFmtId="0" fontId="3" fillId="0" borderId="25" xfId="132" applyFont="1" applyFill="1" applyBorder="1" applyAlignment="1">
      <alignment horizontal="left" wrapText="1"/>
      <protection/>
    </xf>
    <xf numFmtId="0" fontId="3" fillId="0" borderId="24" xfId="132" applyFont="1" applyFill="1" applyBorder="1" applyAlignment="1">
      <alignment horizontal="left" wrapText="1"/>
      <protection/>
    </xf>
    <xf numFmtId="197" fontId="3" fillId="0" borderId="0" xfId="104" applyNumberFormat="1" applyFont="1" applyFill="1" applyAlignment="1">
      <alignment/>
    </xf>
    <xf numFmtId="0" fontId="8" fillId="0" borderId="34" xfId="132" applyFont="1" applyFill="1" applyBorder="1" applyAlignment="1">
      <alignment/>
      <protection/>
    </xf>
    <xf numFmtId="183" fontId="8" fillId="0" borderId="34" xfId="132" applyNumberFormat="1" applyFont="1" applyFill="1" applyBorder="1" applyAlignment="1">
      <alignment/>
      <protection/>
    </xf>
    <xf numFmtId="197" fontId="3" fillId="0" borderId="0" xfId="104" applyNumberFormat="1" applyFont="1" applyFill="1" applyBorder="1" applyAlignment="1">
      <alignment/>
    </xf>
    <xf numFmtId="0" fontId="3" fillId="0" borderId="25" xfId="132" applyFont="1" applyFill="1" applyBorder="1" applyAlignment="1">
      <alignment horizontal="left"/>
      <protection/>
    </xf>
    <xf numFmtId="0" fontId="3" fillId="0" borderId="23" xfId="132" applyFont="1" applyFill="1" applyBorder="1" applyAlignment="1">
      <alignment horizontal="left"/>
      <protection/>
    </xf>
    <xf numFmtId="0" fontId="3" fillId="0" borderId="23" xfId="132" applyFont="1" applyFill="1" applyBorder="1" applyAlignment="1" quotePrefix="1">
      <alignment horizontal="left"/>
      <protection/>
    </xf>
    <xf numFmtId="0" fontId="3" fillId="0" borderId="24" xfId="132" applyFont="1" applyFill="1" applyBorder="1" applyAlignment="1">
      <alignment horizontal="left"/>
      <protection/>
    </xf>
    <xf numFmtId="0" fontId="3" fillId="0" borderId="0" xfId="132" applyFont="1" applyFill="1" applyAlignment="1">
      <alignment horizontal="center"/>
      <protection/>
    </xf>
    <xf numFmtId="197" fontId="3" fillId="0" borderId="0" xfId="104" applyNumberFormat="1" applyFont="1" applyFill="1" applyAlignment="1">
      <alignment horizontal="center"/>
    </xf>
    <xf numFmtId="183" fontId="8" fillId="0" borderId="0" xfId="132" applyNumberFormat="1" applyFont="1" applyFill="1" applyBorder="1" applyAlignment="1">
      <alignment horizontal="center"/>
      <protection/>
    </xf>
    <xf numFmtId="0" fontId="8" fillId="36" borderId="23" xfId="132" applyFont="1" applyFill="1" applyBorder="1" applyAlignment="1">
      <alignment horizontal="center" vertical="center" wrapText="1"/>
      <protection/>
    </xf>
    <xf numFmtId="0" fontId="8" fillId="36" borderId="25" xfId="132" applyFont="1" applyFill="1" applyBorder="1" applyAlignment="1">
      <alignment horizontal="center" vertical="center" wrapText="1"/>
      <protection/>
    </xf>
    <xf numFmtId="0" fontId="8" fillId="36" borderId="24" xfId="132" applyFont="1" applyFill="1" applyBorder="1" applyAlignment="1">
      <alignment horizontal="center" vertical="center" wrapText="1"/>
      <protection/>
    </xf>
    <xf numFmtId="0" fontId="8" fillId="23" borderId="23" xfId="132" applyFont="1" applyFill="1" applyBorder="1" applyAlignment="1">
      <alignment horizontal="center" vertical="center" wrapText="1"/>
      <protection/>
    </xf>
    <xf numFmtId="0" fontId="8" fillId="23" borderId="25" xfId="132" applyFont="1" applyFill="1" applyBorder="1" applyAlignment="1">
      <alignment horizontal="center" vertical="center" wrapText="1"/>
      <protection/>
    </xf>
    <xf numFmtId="0" fontId="8" fillId="23" borderId="24" xfId="132" applyFont="1" applyFill="1" applyBorder="1" applyAlignment="1">
      <alignment horizontal="center" vertical="center" wrapText="1"/>
      <protection/>
    </xf>
    <xf numFmtId="0" fontId="8" fillId="0" borderId="0" xfId="132" applyFont="1" applyFill="1" applyAlignment="1">
      <alignment horizontal="center"/>
      <protection/>
    </xf>
    <xf numFmtId="0" fontId="8" fillId="55" borderId="0" xfId="0" applyFont="1" applyFill="1" applyAlignment="1">
      <alignment horizontal="center"/>
    </xf>
  </cellXfs>
  <cellStyles count="16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40% - Énfšsis3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a" xfId="52"/>
    <cellStyle name="Buena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Millares 10" xfId="85"/>
    <cellStyle name="Millares 11" xfId="86"/>
    <cellStyle name="Millares 11 2" xfId="87"/>
    <cellStyle name="Millares 12" xfId="88"/>
    <cellStyle name="Millares 12 2" xfId="89"/>
    <cellStyle name="Millares 13" xfId="90"/>
    <cellStyle name="Millares 14" xfId="91"/>
    <cellStyle name="Millares 14 2" xfId="92"/>
    <cellStyle name="Millares 15" xfId="93"/>
    <cellStyle name="Millares 15 2" xfId="94"/>
    <cellStyle name="Millares 16" xfId="95"/>
    <cellStyle name="Millares 16 2" xfId="96"/>
    <cellStyle name="Millares 17" xfId="97"/>
    <cellStyle name="Millares 17 2" xfId="98"/>
    <cellStyle name="Millares 18" xfId="99"/>
    <cellStyle name="Millares 18 2" xfId="100"/>
    <cellStyle name="Millares 19" xfId="101"/>
    <cellStyle name="Millares 2" xfId="102"/>
    <cellStyle name="Millares 2 2" xfId="103"/>
    <cellStyle name="Millares 20" xfId="104"/>
    <cellStyle name="Millares 3" xfId="105"/>
    <cellStyle name="Millares 3 2" xfId="106"/>
    <cellStyle name="Millares 4" xfId="107"/>
    <cellStyle name="Millares 4 2" xfId="108"/>
    <cellStyle name="Millares 4 2 2" xfId="109"/>
    <cellStyle name="Millares 5" xfId="110"/>
    <cellStyle name="Millares 5 2" xfId="111"/>
    <cellStyle name="Millares 6" xfId="112"/>
    <cellStyle name="Millares 6 2" xfId="113"/>
    <cellStyle name="Millares 6 3" xfId="114"/>
    <cellStyle name="Millares 7" xfId="115"/>
    <cellStyle name="Millares 7 2" xfId="116"/>
    <cellStyle name="Millares 8" xfId="117"/>
    <cellStyle name="Millares 9" xfId="118"/>
    <cellStyle name="Millares 9 2" xfId="119"/>
    <cellStyle name="Currency" xfId="120"/>
    <cellStyle name="Currency [0]" xfId="121"/>
    <cellStyle name="Moneda 2" xfId="122"/>
    <cellStyle name="Moneda 2 2" xfId="123"/>
    <cellStyle name="Moneda 3" xfId="124"/>
    <cellStyle name="Moneda 4" xfId="125"/>
    <cellStyle name="Moneda 5" xfId="126"/>
    <cellStyle name="Moneda 5 2" xfId="127"/>
    <cellStyle name="Moneda 6" xfId="128"/>
    <cellStyle name="Neutral" xfId="129"/>
    <cellStyle name="Neutral 2" xfId="130"/>
    <cellStyle name="Normal 10" xfId="131"/>
    <cellStyle name="Normal 2" xfId="132"/>
    <cellStyle name="Normal 3" xfId="133"/>
    <cellStyle name="Normal 4" xfId="134"/>
    <cellStyle name="Normal 5" xfId="135"/>
    <cellStyle name="Normal 5 2" xfId="136"/>
    <cellStyle name="Notas" xfId="137"/>
    <cellStyle name="Notas 2" xfId="138"/>
    <cellStyle name="Percent" xfId="139"/>
    <cellStyle name="Porcentaje 2" xfId="140"/>
    <cellStyle name="Porcentaje 3" xfId="141"/>
    <cellStyle name="Porcentaje 4" xfId="142"/>
    <cellStyle name="Porcentaje 5" xfId="143"/>
    <cellStyle name="Porcentaje 5 2" xfId="144"/>
    <cellStyle name="Porcentaje 6" xfId="145"/>
    <cellStyle name="Porcentaje 6 2" xfId="146"/>
    <cellStyle name="Porcentaje 7" xfId="147"/>
    <cellStyle name="Porcentaje 7 2" xfId="148"/>
    <cellStyle name="Porcentaje 8" xfId="149"/>
    <cellStyle name="Porcentaje 8 2" xfId="150"/>
    <cellStyle name="Porcentual 2" xfId="151"/>
    <cellStyle name="Porcentual 2 2" xfId="152"/>
    <cellStyle name="Porcentual 3" xfId="153"/>
    <cellStyle name="Porcentual 3 2" xfId="154"/>
    <cellStyle name="Porcentual 4" xfId="155"/>
    <cellStyle name="Porcentual 5" xfId="156"/>
    <cellStyle name="Porcentual 5 2" xfId="157"/>
    <cellStyle name="Porcentual 6" xfId="158"/>
    <cellStyle name="Porcentual 6 2" xfId="159"/>
    <cellStyle name="Porcentual 7" xfId="160"/>
    <cellStyle name="Porcentual 7 2" xfId="161"/>
    <cellStyle name="Porcentual 8" xfId="162"/>
    <cellStyle name="Porcentual 8 2" xfId="163"/>
    <cellStyle name="Salida" xfId="164"/>
    <cellStyle name="Salida 2" xfId="165"/>
    <cellStyle name="Texto de advertencia" xfId="166"/>
    <cellStyle name="Texto de advertencia 2" xfId="167"/>
    <cellStyle name="Texto explicativo" xfId="168"/>
    <cellStyle name="Texto explicativo 2" xfId="169"/>
    <cellStyle name="Título" xfId="170"/>
    <cellStyle name="Título 1 2" xfId="171"/>
    <cellStyle name="Título 2" xfId="172"/>
    <cellStyle name="Título 2 2" xfId="173"/>
    <cellStyle name="Título 3" xfId="174"/>
    <cellStyle name="Título 3 2" xfId="175"/>
    <cellStyle name="Título 4" xfId="176"/>
    <cellStyle name="Total" xfId="177"/>
    <cellStyle name="Total 2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Documents%20and%20Settings\PatriciaMart&#237;nez\Configuraci&#243;n%20local\Archivos%20temporales%20de%20Internet\Content.Outlook\RD6RDTKZ\A&#241;o%202008\Presupuesto%202009\nomina%202009%20pp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A&#241;o%202010\MANEJO%20PTO%202010\PRESUPUESTO%20INGRESOS%20ESTIMADO%20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carRubio\AppData\Local\Microsoft\Windows\Temporary%20Internet%20Files\Content.Outlook\INBWVVAW\ANEXO%20ACUERDO%204-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A&#241;o%202010\MANEJO%20PTO%202010\ANEXO%20CIERRE%20DE%20INGRESOS%20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CIERRES%202010\ACUERDOS%202010\ANEXO%20ACUERDO%206-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supuesto%202010%20oct21\desagregado%20ppc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A&#241;o%202014\ACUERDOS\ACUERDOS%20DEFINITIVOS\EJECUCIONES%20TRIMESTRALES%20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A&#241;o%202013\MANEJO%20DE%20PRESUPUESTO%202013\PRESUPUESTO%20INGRESOS%20Y%20GASTOS%2020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A&#241;o%202014\ACUERDOS\ACUERDOS%20DEFINITIVOS\ANEXO%20ACUERDO%204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JefeControlRegional\Presupuesto%202008\Presupuesto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esagregado%20ppc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efeControlRegional\Presupuesto%202008\Presupuesto%20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PTO%20FONDO%202010\Presupuesto%202010%20versi&#243;n%203\PRESUPUESTO%2010%203a%20%20versi&#243;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triciaMart&#237;nez\Configuraci&#243;n%20local\Archivos%20temporales%20de%20Internet\Content.Outlook\RD6RDTKZ\A&#241;o%202008\Presupuesto%202009\nomina%202009%20pp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1\Presentaciones\COMITES%20PPC\DESPACHOS%20BIOLOGICO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Informe%20gesti&#243;n%20definitivo%20I%20semestre%202012\gastos%20enero%20junio%20de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ABILIDAD\ANEXO%20CIERRE%20DE%20INGRESO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  <sheetName val="Hoja2"/>
    </sheetNames>
    <sheetDataSet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7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10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NEXO INGRESOS"/>
      <sheetName val="Presupuesto general"/>
      <sheetName val="2004VS2005"/>
      <sheetName val="INGRESO"/>
      <sheetName val="Anexo 2 "/>
      <sheetName val="SUPERAVIT"/>
      <sheetName val="Inversión total en programas"/>
      <sheetName val="MODELO CONTRATISTAS"/>
      <sheetName val="Servicios personal 2005"/>
      <sheetName val="Nómina 2004"/>
    </sheetNames>
    <sheetDataSet>
      <sheetData sheetId="6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9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ANEXO INGRESOS"/>
      <sheetName val="RES"/>
      <sheetName val="ECO"/>
      <sheetName val="TEC"/>
      <sheetName val="TRANSF"/>
      <sheetName val="PPC"/>
      <sheetName val="MER"/>
      <sheetName val="FUN"/>
      <sheetName val="Hoja1"/>
      <sheetName val="BIOLÓGIC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4">
        <row r="86">
          <cell r="B86">
            <v>117000000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Anexo 2 X Areas"/>
      <sheetName val="#¡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workbookViewId="0" topLeftCell="A1">
      <pane ySplit="6" topLeftCell="A28" activePane="bottomLeft" state="frozen"/>
      <selection pane="topLeft" activeCell="A1" sqref="A1"/>
      <selection pane="bottomLeft" activeCell="G31" sqref="G31"/>
    </sheetView>
  </sheetViews>
  <sheetFormatPr defaultColWidth="11.421875" defaultRowHeight="12.75" outlineLevelCol="1"/>
  <cols>
    <col min="1" max="1" width="50.8515625" style="26" customWidth="1"/>
    <col min="2" max="3" width="22.57421875" style="26" hidden="1" customWidth="1" outlineLevel="1"/>
    <col min="4" max="4" width="15.28125" style="26" bestFit="1" customWidth="1" collapsed="1"/>
    <col min="5" max="5" width="13.140625" style="26" bestFit="1" customWidth="1"/>
    <col min="6" max="8" width="13.57421875" style="26" bestFit="1" customWidth="1"/>
    <col min="9" max="10" width="12.7109375" style="26" customWidth="1"/>
    <col min="11" max="11" width="12.7109375" style="126" customWidth="1"/>
    <col min="12" max="16384" width="11.421875" style="26" customWidth="1"/>
  </cols>
  <sheetData>
    <row r="1" spans="1:8" ht="14.25">
      <c r="A1" s="41"/>
      <c r="B1" s="41"/>
      <c r="C1" s="41"/>
      <c r="D1" s="41"/>
      <c r="E1" s="41"/>
      <c r="F1" s="41"/>
      <c r="G1" s="41"/>
      <c r="H1" s="41"/>
    </row>
    <row r="2" spans="1:8" ht="15">
      <c r="A2" s="151" t="s">
        <v>28</v>
      </c>
      <c r="B2" s="151"/>
      <c r="C2" s="151"/>
      <c r="D2" s="151"/>
      <c r="E2" s="151"/>
      <c r="F2" s="151"/>
      <c r="G2" s="151"/>
      <c r="H2" s="151"/>
    </row>
    <row r="3" spans="1:8" ht="15">
      <c r="A3" s="151" t="s">
        <v>27</v>
      </c>
      <c r="B3" s="151"/>
      <c r="C3" s="151"/>
      <c r="D3" s="151"/>
      <c r="E3" s="151"/>
      <c r="F3" s="151"/>
      <c r="G3" s="151"/>
      <c r="H3" s="151"/>
    </row>
    <row r="4" spans="1:8" ht="15">
      <c r="A4" s="151" t="s">
        <v>260</v>
      </c>
      <c r="B4" s="151"/>
      <c r="C4" s="151"/>
      <c r="D4" s="151"/>
      <c r="E4" s="151"/>
      <c r="F4" s="151"/>
      <c r="G4" s="151"/>
      <c r="H4" s="151"/>
    </row>
    <row r="5" spans="1:8" ht="14.25">
      <c r="A5" s="41"/>
      <c r="B5" s="41"/>
      <c r="C5" s="41"/>
      <c r="D5" s="41"/>
      <c r="E5" s="41"/>
      <c r="F5" s="41"/>
      <c r="G5" s="41"/>
      <c r="H5" s="41"/>
    </row>
    <row r="6" spans="1:8" ht="30">
      <c r="A6" s="149" t="s">
        <v>93</v>
      </c>
      <c r="B6" s="150"/>
      <c r="C6" s="124" t="s">
        <v>261</v>
      </c>
      <c r="D6" s="125" t="s">
        <v>88</v>
      </c>
      <c r="E6" s="125" t="s">
        <v>89</v>
      </c>
      <c r="F6" s="125" t="s">
        <v>189</v>
      </c>
      <c r="G6" s="125" t="s">
        <v>90</v>
      </c>
      <c r="H6" s="125" t="s">
        <v>29</v>
      </c>
    </row>
    <row r="7" spans="1:8" ht="12.75" customHeight="1">
      <c r="A7" s="32" t="s">
        <v>198</v>
      </c>
      <c r="B7" s="31">
        <v>48155901</v>
      </c>
      <c r="C7" s="31"/>
      <c r="D7" s="30">
        <v>12545732</v>
      </c>
      <c r="E7" s="35">
        <v>1518351</v>
      </c>
      <c r="F7" s="30">
        <v>590874</v>
      </c>
      <c r="G7" s="30">
        <v>1395410</v>
      </c>
      <c r="H7" s="30">
        <f aca="true" t="shared" si="0" ref="H7:H12">SUM(D7:G7)</f>
        <v>16050367</v>
      </c>
    </row>
    <row r="8" spans="1:8" ht="14.25">
      <c r="A8" s="32" t="s">
        <v>194</v>
      </c>
      <c r="B8" s="31">
        <v>48100701</v>
      </c>
      <c r="C8" s="31"/>
      <c r="D8" s="30">
        <v>299</v>
      </c>
      <c r="E8" s="35">
        <v>19</v>
      </c>
      <c r="F8" s="35">
        <v>9</v>
      </c>
      <c r="G8" s="30"/>
      <c r="H8" s="30">
        <f t="shared" si="0"/>
        <v>327</v>
      </c>
    </row>
    <row r="9" spans="1:8" ht="12.75" customHeight="1">
      <c r="A9" s="32" t="s">
        <v>193</v>
      </c>
      <c r="B9" s="31">
        <v>48104701</v>
      </c>
      <c r="C9" s="31"/>
      <c r="D9" s="30">
        <v>8325</v>
      </c>
      <c r="E9" s="35">
        <v>1465410</v>
      </c>
      <c r="F9" s="35">
        <v>1986517</v>
      </c>
      <c r="G9" s="30">
        <f>-14863+8</f>
        <v>-14855</v>
      </c>
      <c r="H9" s="30">
        <f t="shared" si="0"/>
        <v>3445397</v>
      </c>
    </row>
    <row r="10" spans="1:8" ht="14.25">
      <c r="A10" s="32" t="s">
        <v>262</v>
      </c>
      <c r="B10" s="31">
        <v>48109012</v>
      </c>
      <c r="C10" s="31"/>
      <c r="D10" s="30"/>
      <c r="E10" s="35">
        <v>689</v>
      </c>
      <c r="F10" s="35">
        <v>141</v>
      </c>
      <c r="G10" s="30">
        <v>2540</v>
      </c>
      <c r="H10" s="30">
        <f t="shared" si="0"/>
        <v>3370</v>
      </c>
    </row>
    <row r="11" spans="1:8" ht="14.25">
      <c r="A11" s="32" t="s">
        <v>196</v>
      </c>
      <c r="B11" s="31">
        <v>48060101</v>
      </c>
      <c r="C11" s="31"/>
      <c r="D11" s="30"/>
      <c r="E11" s="35"/>
      <c r="F11" s="35"/>
      <c r="G11" s="30"/>
      <c r="H11" s="30">
        <f t="shared" si="0"/>
        <v>0</v>
      </c>
    </row>
    <row r="12" spans="1:8" ht="14.25">
      <c r="A12" s="32" t="s">
        <v>200</v>
      </c>
      <c r="B12" s="31">
        <v>4810900301</v>
      </c>
      <c r="C12" s="31"/>
      <c r="D12" s="30">
        <v>0</v>
      </c>
      <c r="E12" s="35"/>
      <c r="F12" s="30"/>
      <c r="G12" s="30"/>
      <c r="H12" s="30">
        <f t="shared" si="0"/>
        <v>0</v>
      </c>
    </row>
    <row r="13" spans="1:8" ht="15">
      <c r="A13" s="146" t="s">
        <v>199</v>
      </c>
      <c r="B13" s="147"/>
      <c r="C13" s="123"/>
      <c r="D13" s="28">
        <f>SUM(D7:D12)</f>
        <v>12554356</v>
      </c>
      <c r="E13" s="28">
        <f>SUM(E7:E12)</f>
        <v>2984469</v>
      </c>
      <c r="F13" s="28">
        <f>SUM(F7:F12)</f>
        <v>2577541</v>
      </c>
      <c r="G13" s="28">
        <f>SUM(G7:G12)</f>
        <v>1383095</v>
      </c>
      <c r="H13" s="28">
        <f>SUM(H7:H12)</f>
        <v>19499461</v>
      </c>
    </row>
    <row r="14" spans="1:8" ht="14.25">
      <c r="A14" s="41"/>
      <c r="B14" s="41"/>
      <c r="C14" s="41"/>
      <c r="D14" s="41"/>
      <c r="E14" s="41"/>
      <c r="F14" s="41"/>
      <c r="G14" s="41"/>
      <c r="H14" s="41"/>
    </row>
    <row r="15" spans="1:8" ht="14.25">
      <c r="A15" s="41"/>
      <c r="B15" s="41"/>
      <c r="C15" s="41"/>
      <c r="D15" s="41"/>
      <c r="E15" s="41"/>
      <c r="F15" s="41"/>
      <c r="G15" s="41"/>
      <c r="H15" s="41"/>
    </row>
    <row r="16" spans="1:8" ht="15">
      <c r="A16" s="149" t="s">
        <v>71</v>
      </c>
      <c r="B16" s="150"/>
      <c r="C16" s="124"/>
      <c r="D16" s="125" t="s">
        <v>88</v>
      </c>
      <c r="E16" s="125" t="s">
        <v>89</v>
      </c>
      <c r="F16" s="125" t="s">
        <v>189</v>
      </c>
      <c r="G16" s="125" t="s">
        <v>90</v>
      </c>
      <c r="H16" s="125" t="s">
        <v>29</v>
      </c>
    </row>
    <row r="17" spans="1:8" ht="14.25">
      <c r="A17" s="32" t="s">
        <v>197</v>
      </c>
      <c r="B17" s="31">
        <v>48051301</v>
      </c>
      <c r="C17" s="31"/>
      <c r="D17" s="30">
        <v>2320153</v>
      </c>
      <c r="E17" s="35">
        <v>10765478</v>
      </c>
      <c r="F17" s="35">
        <v>16610744</v>
      </c>
      <c r="G17" s="30">
        <v>15892348</v>
      </c>
      <c r="H17" s="30">
        <f>SUM(D17:G17)</f>
        <v>45588723</v>
      </c>
    </row>
    <row r="18" spans="1:12" ht="12.75" customHeight="1">
      <c r="A18" s="32" t="s">
        <v>59</v>
      </c>
      <c r="B18" s="127" t="s">
        <v>263</v>
      </c>
      <c r="C18" s="30">
        <v>49000000</v>
      </c>
      <c r="D18" s="30">
        <f>140000+5682600-1187200</f>
        <v>4635400</v>
      </c>
      <c r="E18" s="35">
        <v>410000</v>
      </c>
      <c r="F18" s="35">
        <v>595000</v>
      </c>
      <c r="G18" s="30">
        <f>200000+350000</f>
        <v>550000</v>
      </c>
      <c r="H18" s="30">
        <f aca="true" t="shared" si="1" ref="H18:H25">SUM(D18:G18)</f>
        <v>6190400</v>
      </c>
      <c r="J18" s="128"/>
      <c r="L18" s="129"/>
    </row>
    <row r="19" spans="1:8" ht="12.75" customHeight="1">
      <c r="A19" s="32" t="s">
        <v>264</v>
      </c>
      <c r="B19" s="31"/>
      <c r="C19" s="30">
        <v>20000000</v>
      </c>
      <c r="D19" s="30"/>
      <c r="E19" s="35"/>
      <c r="F19" s="35"/>
      <c r="G19" s="30"/>
      <c r="H19" s="30">
        <f t="shared" si="1"/>
        <v>0</v>
      </c>
    </row>
    <row r="20" spans="1:11" ht="28.5">
      <c r="A20" s="32" t="s">
        <v>32</v>
      </c>
      <c r="B20" s="31">
        <v>421004</v>
      </c>
      <c r="C20" s="30">
        <v>12000000</v>
      </c>
      <c r="D20" s="30">
        <v>680000</v>
      </c>
      <c r="E20" s="35">
        <v>415000</v>
      </c>
      <c r="F20" s="35">
        <v>5876724</v>
      </c>
      <c r="G20" s="30">
        <v>220000</v>
      </c>
      <c r="H20" s="30">
        <f t="shared" si="1"/>
        <v>7191724</v>
      </c>
      <c r="J20" s="130"/>
      <c r="K20" s="131"/>
    </row>
    <row r="21" spans="1:11" ht="15">
      <c r="A21" s="38" t="s">
        <v>265</v>
      </c>
      <c r="B21" s="37">
        <v>48052201</v>
      </c>
      <c r="C21" s="36">
        <v>110015523</v>
      </c>
      <c r="D21" s="36">
        <v>38599318</v>
      </c>
      <c r="E21" s="36">
        <v>17051876</v>
      </c>
      <c r="F21" s="36">
        <v>28830672</v>
      </c>
      <c r="G21" s="36">
        <v>20039457</v>
      </c>
      <c r="H21" s="36">
        <f t="shared" si="1"/>
        <v>104521323</v>
      </c>
      <c r="J21" s="130"/>
      <c r="K21" s="131"/>
    </row>
    <row r="22" spans="1:11" ht="15">
      <c r="A22" s="132" t="s">
        <v>266</v>
      </c>
      <c r="B22" s="133">
        <v>4810902001</v>
      </c>
      <c r="C22" s="133"/>
      <c r="D22" s="35">
        <v>40000</v>
      </c>
      <c r="E22" s="36"/>
      <c r="F22" s="36"/>
      <c r="G22" s="36"/>
      <c r="H22" s="30">
        <f t="shared" si="1"/>
        <v>40000</v>
      </c>
      <c r="J22" s="130"/>
      <c r="K22" s="131"/>
    </row>
    <row r="23" spans="1:11" ht="28.5">
      <c r="A23" s="132" t="s">
        <v>192</v>
      </c>
      <c r="B23" s="133" t="s">
        <v>267</v>
      </c>
      <c r="C23" s="133"/>
      <c r="D23" s="35">
        <f>1610066+229700</f>
        <v>1839766</v>
      </c>
      <c r="E23" s="36"/>
      <c r="F23" s="36"/>
      <c r="G23" s="35">
        <f>454586+531605</f>
        <v>986191</v>
      </c>
      <c r="H23" s="30">
        <f t="shared" si="1"/>
        <v>2825957</v>
      </c>
      <c r="J23" s="130"/>
      <c r="K23" s="131"/>
    </row>
    <row r="24" spans="1:11" ht="15">
      <c r="A24" s="132" t="s">
        <v>268</v>
      </c>
      <c r="B24" s="133">
        <v>48155902</v>
      </c>
      <c r="C24" s="133"/>
      <c r="D24" s="35">
        <f>268352-10463</f>
        <v>257889</v>
      </c>
      <c r="E24" s="35">
        <v>300000</v>
      </c>
      <c r="F24" s="36"/>
      <c r="G24" s="36"/>
      <c r="H24" s="30">
        <f t="shared" si="1"/>
        <v>557889</v>
      </c>
      <c r="J24" s="130"/>
      <c r="K24" s="131"/>
    </row>
    <row r="25" spans="1:11" ht="15">
      <c r="A25" s="132" t="s">
        <v>269</v>
      </c>
      <c r="B25" s="133">
        <v>481006</v>
      </c>
      <c r="C25" s="133"/>
      <c r="D25" s="35"/>
      <c r="E25" s="35">
        <v>4402298</v>
      </c>
      <c r="F25" s="36"/>
      <c r="G25" s="36"/>
      <c r="H25" s="30">
        <f t="shared" si="1"/>
        <v>4402298</v>
      </c>
      <c r="J25" s="130"/>
      <c r="K25" s="131"/>
    </row>
    <row r="26" spans="1:27" ht="15">
      <c r="A26" s="146" t="s">
        <v>77</v>
      </c>
      <c r="B26" s="147"/>
      <c r="C26" s="123"/>
      <c r="D26" s="28">
        <f>SUM(D17:D25)-D21</f>
        <v>9773208</v>
      </c>
      <c r="E26" s="28">
        <f>SUM(E17:E25)-E21</f>
        <v>16292776</v>
      </c>
      <c r="F26" s="28">
        <f>SUM(F17:F25)-F21</f>
        <v>23082468</v>
      </c>
      <c r="G26" s="28">
        <f>SUM(G17:G25)-G21</f>
        <v>17648539</v>
      </c>
      <c r="H26" s="28">
        <f>SUM(H17:H25)-H21</f>
        <v>66796991</v>
      </c>
      <c r="I26" s="24"/>
      <c r="J26" s="24"/>
      <c r="K26" s="13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s="39" customFormat="1" ht="15.75" customHeight="1">
      <c r="A27" s="135"/>
      <c r="B27" s="135"/>
      <c r="C27" s="135"/>
      <c r="D27" s="136"/>
      <c r="E27" s="40"/>
      <c r="F27" s="40"/>
      <c r="G27" s="40"/>
      <c r="H27" s="40"/>
      <c r="I27" s="40"/>
      <c r="J27" s="40"/>
      <c r="K27" s="137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s="39" customFormat="1" ht="14.25" customHeight="1">
      <c r="A28" s="130"/>
      <c r="B28" s="130"/>
      <c r="C28" s="130"/>
      <c r="D28" s="13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ht="15">
      <c r="A29" s="148" t="s">
        <v>76</v>
      </c>
      <c r="B29" s="148"/>
      <c r="C29" s="122"/>
      <c r="D29" s="121" t="s">
        <v>88</v>
      </c>
      <c r="E29" s="121" t="s">
        <v>89</v>
      </c>
      <c r="F29" s="121" t="s">
        <v>189</v>
      </c>
      <c r="G29" s="121" t="s">
        <v>90</v>
      </c>
      <c r="H29" s="121" t="s">
        <v>29</v>
      </c>
      <c r="I29" s="24"/>
      <c r="J29" s="24"/>
      <c r="K29" s="13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14.25">
      <c r="A30" s="138" t="s">
        <v>270</v>
      </c>
      <c r="B30" s="139" t="s">
        <v>271</v>
      </c>
      <c r="C30" s="30">
        <v>100000000</v>
      </c>
      <c r="D30" s="30"/>
      <c r="E30" s="35">
        <v>30000000</v>
      </c>
      <c r="F30" s="30">
        <v>60000000</v>
      </c>
      <c r="G30" s="30">
        <v>10000000</v>
      </c>
      <c r="H30" s="30">
        <f>SUM(D30:G30)</f>
        <v>100000000</v>
      </c>
      <c r="I30" s="24"/>
      <c r="J30" s="24"/>
      <c r="K30" s="13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14.25">
      <c r="A31" s="138" t="s">
        <v>272</v>
      </c>
      <c r="B31" s="139">
        <v>4810903301</v>
      </c>
      <c r="C31" s="30"/>
      <c r="D31" s="30"/>
      <c r="E31" s="35"/>
      <c r="F31" s="30"/>
      <c r="G31" s="30">
        <v>13014856</v>
      </c>
      <c r="H31" s="30">
        <f>SUM(D31:G31)</f>
        <v>13014856</v>
      </c>
      <c r="I31" s="24"/>
      <c r="J31" s="24"/>
      <c r="K31" s="13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11" ht="14.25">
      <c r="A32" s="138" t="s">
        <v>273</v>
      </c>
      <c r="B32" s="139"/>
      <c r="C32" s="30">
        <v>88508160</v>
      </c>
      <c r="D32" s="30"/>
      <c r="E32" s="35"/>
      <c r="F32" s="35"/>
      <c r="G32" s="30"/>
      <c r="H32" s="30"/>
      <c r="I32" s="24"/>
      <c r="J32" s="24"/>
      <c r="K32" s="137"/>
    </row>
    <row r="33" spans="1:10" ht="14.25">
      <c r="A33" s="138" t="s">
        <v>274</v>
      </c>
      <c r="B33" s="139"/>
      <c r="C33" s="30"/>
      <c r="D33" s="30"/>
      <c r="E33" s="35"/>
      <c r="F33" s="35"/>
      <c r="G33" s="30"/>
      <c r="H33" s="30">
        <f aca="true" t="shared" si="2" ref="H33:H42">SUM(D33:G33)</f>
        <v>0</v>
      </c>
      <c r="I33" s="24"/>
      <c r="J33" s="24"/>
    </row>
    <row r="34" spans="1:10" ht="14.25">
      <c r="A34" s="138" t="s">
        <v>275</v>
      </c>
      <c r="B34" s="139">
        <v>43900501</v>
      </c>
      <c r="C34" s="30">
        <v>38518823</v>
      </c>
      <c r="D34" s="30">
        <v>13462442</v>
      </c>
      <c r="E34" s="35">
        <v>-11140251</v>
      </c>
      <c r="F34" s="35"/>
      <c r="G34" s="30">
        <v>206070</v>
      </c>
      <c r="H34" s="30">
        <f t="shared" si="2"/>
        <v>2528261</v>
      </c>
      <c r="I34" s="24"/>
      <c r="J34" s="24"/>
    </row>
    <row r="35" spans="1:10" ht="14.25">
      <c r="A35" s="138" t="s">
        <v>276</v>
      </c>
      <c r="B35" s="139"/>
      <c r="C35" s="30">
        <v>99847460</v>
      </c>
      <c r="D35" s="30"/>
      <c r="E35" s="35"/>
      <c r="F35" s="35"/>
      <c r="G35" s="30"/>
      <c r="H35" s="30">
        <f t="shared" si="2"/>
        <v>0</v>
      </c>
      <c r="I35" s="24"/>
      <c r="J35" s="24"/>
    </row>
    <row r="36" spans="1:10" ht="14.25">
      <c r="A36" s="138" t="s">
        <v>277</v>
      </c>
      <c r="B36" s="139"/>
      <c r="C36" s="30">
        <v>180000000</v>
      </c>
      <c r="D36" s="30"/>
      <c r="E36" s="35"/>
      <c r="F36" s="35">
        <v>111728102</v>
      </c>
      <c r="G36" s="30"/>
      <c r="H36" s="30">
        <f t="shared" si="2"/>
        <v>111728102</v>
      </c>
      <c r="I36" s="24"/>
      <c r="J36" s="24"/>
    </row>
    <row r="37" spans="1:10" ht="14.25">
      <c r="A37" s="138" t="s">
        <v>278</v>
      </c>
      <c r="B37" s="140" t="s">
        <v>279</v>
      </c>
      <c r="C37" s="30">
        <v>44000000</v>
      </c>
      <c r="D37" s="30">
        <f>3300000-2750000+13750000-550000</f>
        <v>13750000</v>
      </c>
      <c r="E37" s="35">
        <v>2200000</v>
      </c>
      <c r="F37" s="35">
        <v>33000000</v>
      </c>
      <c r="G37" s="30"/>
      <c r="H37" s="30">
        <f t="shared" si="2"/>
        <v>48950000</v>
      </c>
      <c r="I37" s="24"/>
      <c r="J37" s="24"/>
    </row>
    <row r="38" spans="1:11" ht="14.25">
      <c r="A38" s="138" t="s">
        <v>280</v>
      </c>
      <c r="B38" s="139">
        <v>43900514</v>
      </c>
      <c r="C38" s="30">
        <v>10000000</v>
      </c>
      <c r="D38" s="30"/>
      <c r="E38" s="35">
        <v>11465554</v>
      </c>
      <c r="F38" s="35">
        <v>43104</v>
      </c>
      <c r="G38" s="30"/>
      <c r="H38" s="30">
        <f t="shared" si="2"/>
        <v>11508658</v>
      </c>
      <c r="I38" s="24"/>
      <c r="J38" s="24"/>
      <c r="K38" s="134"/>
    </row>
    <row r="39" spans="1:11" ht="14.25">
      <c r="A39" s="138" t="s">
        <v>281</v>
      </c>
      <c r="B39" s="139"/>
      <c r="C39" s="30">
        <v>795972100</v>
      </c>
      <c r="D39" s="30"/>
      <c r="E39" s="35"/>
      <c r="F39" s="35">
        <v>50000000</v>
      </c>
      <c r="G39" s="30">
        <f>23000000+51910020+147375000+23000000</f>
        <v>245285020</v>
      </c>
      <c r="H39" s="30">
        <f t="shared" si="2"/>
        <v>295285020</v>
      </c>
      <c r="I39" s="24"/>
      <c r="J39" s="24"/>
      <c r="K39" s="134"/>
    </row>
    <row r="40" spans="1:11" s="24" customFormat="1" ht="14.25">
      <c r="A40" s="138" t="s">
        <v>282</v>
      </c>
      <c r="B40" s="139"/>
      <c r="C40" s="30">
        <v>334775000</v>
      </c>
      <c r="D40" s="30"/>
      <c r="E40" s="35"/>
      <c r="F40" s="35"/>
      <c r="G40" s="30"/>
      <c r="H40" s="30">
        <f t="shared" si="2"/>
        <v>0</v>
      </c>
      <c r="K40" s="134"/>
    </row>
    <row r="41" spans="1:11" s="24" customFormat="1" ht="14.25">
      <c r="A41" s="138" t="s">
        <v>283</v>
      </c>
      <c r="B41" s="139">
        <v>43900510</v>
      </c>
      <c r="C41" s="30"/>
      <c r="D41" s="30">
        <f>2241382-344828</f>
        <v>1896554</v>
      </c>
      <c r="E41" s="35">
        <v>-1293105</v>
      </c>
      <c r="F41" s="35"/>
      <c r="G41" s="30"/>
      <c r="H41" s="30">
        <f t="shared" si="2"/>
        <v>603449</v>
      </c>
      <c r="K41" s="134"/>
    </row>
    <row r="42" spans="1:11" s="24" customFormat="1" ht="14.25">
      <c r="A42" s="138" t="s">
        <v>284</v>
      </c>
      <c r="B42" s="141">
        <v>43900513</v>
      </c>
      <c r="C42" s="30"/>
      <c r="D42" s="30"/>
      <c r="E42" s="35">
        <v>18275881</v>
      </c>
      <c r="F42" s="35"/>
      <c r="G42" s="30"/>
      <c r="H42" s="30">
        <f t="shared" si="2"/>
        <v>18275881</v>
      </c>
      <c r="K42" s="134"/>
    </row>
    <row r="43" spans="1:11" s="24" customFormat="1" ht="15">
      <c r="A43" s="146" t="s">
        <v>79</v>
      </c>
      <c r="B43" s="147"/>
      <c r="C43" s="123"/>
      <c r="D43" s="28">
        <f>SUM(D30:D42)</f>
        <v>29108996</v>
      </c>
      <c r="E43" s="28">
        <f>SUM(E30:E42)</f>
        <v>49508079</v>
      </c>
      <c r="F43" s="28">
        <f>SUM(F30:F42)</f>
        <v>254771206</v>
      </c>
      <c r="G43" s="28">
        <f>SUM(G30:G42)</f>
        <v>268505946</v>
      </c>
      <c r="H43" s="28">
        <f>SUM(H30:H42)</f>
        <v>601894227</v>
      </c>
      <c r="K43" s="134"/>
    </row>
    <row r="44" spans="1:11" s="40" customFormat="1" ht="14.25" customHeight="1">
      <c r="A44" s="135"/>
      <c r="B44" s="135"/>
      <c r="C44" s="135"/>
      <c r="D44" s="135"/>
      <c r="K44" s="137"/>
    </row>
    <row r="45" spans="1:11" s="24" customFormat="1" ht="15">
      <c r="A45" s="149" t="s">
        <v>92</v>
      </c>
      <c r="B45" s="150"/>
      <c r="C45" s="124"/>
      <c r="D45" s="125" t="s">
        <v>88</v>
      </c>
      <c r="E45" s="125" t="s">
        <v>89</v>
      </c>
      <c r="F45" s="125" t="s">
        <v>189</v>
      </c>
      <c r="G45" s="125" t="s">
        <v>90</v>
      </c>
      <c r="H45" s="125" t="s">
        <v>29</v>
      </c>
      <c r="I45" s="142"/>
      <c r="J45" s="142"/>
      <c r="K45" s="143"/>
    </row>
    <row r="46" spans="1:11" s="24" customFormat="1" ht="14.25">
      <c r="A46" s="32" t="s">
        <v>197</v>
      </c>
      <c r="B46" s="31">
        <v>48051301</v>
      </c>
      <c r="C46" s="31"/>
      <c r="D46" s="30">
        <v>322364</v>
      </c>
      <c r="E46" s="35">
        <v>1065754</v>
      </c>
      <c r="F46" s="30">
        <v>55781</v>
      </c>
      <c r="G46" s="30">
        <v>1694546</v>
      </c>
      <c r="H46" s="30">
        <f aca="true" t="shared" si="3" ref="H46:H57">SUM(D46:G46)</f>
        <v>3138445</v>
      </c>
      <c r="K46" s="134"/>
    </row>
    <row r="47" spans="1:11" s="24" customFormat="1" ht="15">
      <c r="A47" s="38" t="s">
        <v>265</v>
      </c>
      <c r="B47" s="37">
        <v>48052201</v>
      </c>
      <c r="C47" s="36">
        <v>173813999.6818499</v>
      </c>
      <c r="D47" s="36">
        <v>42277809.14</v>
      </c>
      <c r="E47" s="36">
        <v>12609604</v>
      </c>
      <c r="F47" s="36">
        <v>39974730</v>
      </c>
      <c r="G47" s="36">
        <v>44536099</v>
      </c>
      <c r="H47" s="36">
        <f t="shared" si="3"/>
        <v>139398242.14</v>
      </c>
      <c r="K47" s="134"/>
    </row>
    <row r="48" spans="1:42" ht="14.25">
      <c r="A48" s="32" t="s">
        <v>285</v>
      </c>
      <c r="B48" s="31">
        <v>48060101</v>
      </c>
      <c r="C48" s="31"/>
      <c r="D48" s="30">
        <v>4469</v>
      </c>
      <c r="E48" s="35">
        <v>3692</v>
      </c>
      <c r="F48" s="30">
        <v>4916</v>
      </c>
      <c r="G48" s="30">
        <v>61264</v>
      </c>
      <c r="H48" s="30">
        <f t="shared" si="3"/>
        <v>74341</v>
      </c>
      <c r="I48" s="24"/>
      <c r="J48" s="24"/>
      <c r="K48" s="13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</row>
    <row r="49" spans="1:42" ht="14.25">
      <c r="A49" s="32" t="s">
        <v>195</v>
      </c>
      <c r="B49" s="31">
        <v>48060201</v>
      </c>
      <c r="C49" s="31"/>
      <c r="D49" s="30">
        <v>1853</v>
      </c>
      <c r="E49" s="35">
        <v>39</v>
      </c>
      <c r="F49" s="30">
        <v>20</v>
      </c>
      <c r="G49" s="30"/>
      <c r="H49" s="30">
        <f t="shared" si="3"/>
        <v>1912</v>
      </c>
      <c r="I49" s="24"/>
      <c r="J49" s="24"/>
      <c r="K49" s="13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</row>
    <row r="50" spans="1:42" ht="14.25">
      <c r="A50" s="32" t="s">
        <v>194</v>
      </c>
      <c r="B50" s="31">
        <v>48100701</v>
      </c>
      <c r="C50" s="31"/>
      <c r="D50" s="30">
        <v>3176.5</v>
      </c>
      <c r="E50" s="35">
        <v>46</v>
      </c>
      <c r="F50" s="30">
        <v>124711</v>
      </c>
      <c r="G50" s="30">
        <v>1124</v>
      </c>
      <c r="H50" s="30">
        <f t="shared" si="3"/>
        <v>129057.5</v>
      </c>
      <c r="I50" s="24"/>
      <c r="J50" s="24"/>
      <c r="K50" s="13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</row>
    <row r="51" spans="1:42" ht="14.25">
      <c r="A51" s="32" t="s">
        <v>193</v>
      </c>
      <c r="B51" s="31">
        <v>48104701</v>
      </c>
      <c r="C51" s="31"/>
      <c r="D51" s="30"/>
      <c r="E51" s="35">
        <v>1856</v>
      </c>
      <c r="F51" s="30">
        <v>1817</v>
      </c>
      <c r="G51" s="30">
        <v>133434</v>
      </c>
      <c r="H51" s="30">
        <f t="shared" si="3"/>
        <v>137107</v>
      </c>
      <c r="I51" s="24"/>
      <c r="J51" s="24"/>
      <c r="K51" s="13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</row>
    <row r="52" spans="1:42" ht="14.25">
      <c r="A52" s="32" t="s">
        <v>192</v>
      </c>
      <c r="B52" s="31">
        <v>48104901</v>
      </c>
      <c r="C52" s="31"/>
      <c r="D52" s="30"/>
      <c r="E52" s="35"/>
      <c r="F52" s="30"/>
      <c r="G52" s="30">
        <v>440800</v>
      </c>
      <c r="H52" s="30">
        <f t="shared" si="3"/>
        <v>440800</v>
      </c>
      <c r="I52" s="24"/>
      <c r="J52" s="24"/>
      <c r="K52" s="13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</row>
    <row r="53" spans="1:42" ht="14.25">
      <c r="A53" s="32" t="s">
        <v>286</v>
      </c>
      <c r="B53" s="31">
        <v>48100802</v>
      </c>
      <c r="C53" s="31"/>
      <c r="D53" s="30"/>
      <c r="E53" s="35"/>
      <c r="F53" s="30"/>
      <c r="G53" s="30"/>
      <c r="H53" s="30">
        <f t="shared" si="3"/>
        <v>0</v>
      </c>
      <c r="I53" s="24"/>
      <c r="J53" s="24"/>
      <c r="K53" s="13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1:42" ht="15">
      <c r="A54" s="32" t="s">
        <v>287</v>
      </c>
      <c r="B54" s="31">
        <v>4810900301</v>
      </c>
      <c r="C54" s="31"/>
      <c r="D54" s="30"/>
      <c r="E54" s="36">
        <v>0</v>
      </c>
      <c r="F54" s="30"/>
      <c r="G54" s="30"/>
      <c r="H54" s="30">
        <f t="shared" si="3"/>
        <v>0</v>
      </c>
      <c r="I54" s="24"/>
      <c r="J54" s="24"/>
      <c r="K54" s="13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1:42" ht="14.25">
      <c r="A55" s="32" t="s">
        <v>288</v>
      </c>
      <c r="B55" s="31">
        <v>4810901201</v>
      </c>
      <c r="C55" s="31"/>
      <c r="D55" s="30"/>
      <c r="E55" s="35">
        <v>848</v>
      </c>
      <c r="F55" s="30">
        <v>2198</v>
      </c>
      <c r="G55" s="30">
        <v>54</v>
      </c>
      <c r="H55" s="30">
        <f t="shared" si="3"/>
        <v>3100</v>
      </c>
      <c r="I55" s="24"/>
      <c r="J55" s="24"/>
      <c r="K55" s="13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</row>
    <row r="56" spans="1:42" ht="14.25">
      <c r="A56" s="32" t="s">
        <v>191</v>
      </c>
      <c r="B56" s="31">
        <v>48109012</v>
      </c>
      <c r="C56" s="31"/>
      <c r="D56" s="30">
        <v>230240</v>
      </c>
      <c r="E56" s="35">
        <v>390</v>
      </c>
      <c r="F56" s="30">
        <v>450000</v>
      </c>
      <c r="G56" s="30"/>
      <c r="H56" s="30">
        <f t="shared" si="3"/>
        <v>680630</v>
      </c>
      <c r="I56" s="24"/>
      <c r="J56" s="24"/>
      <c r="K56" s="13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</row>
    <row r="57" spans="1:42" ht="14.25">
      <c r="A57" s="32" t="s">
        <v>289</v>
      </c>
      <c r="B57" s="31">
        <v>4810901301</v>
      </c>
      <c r="C57" s="31"/>
      <c r="D57" s="30"/>
      <c r="E57" s="35"/>
      <c r="F57" s="30"/>
      <c r="G57" s="30">
        <v>299960</v>
      </c>
      <c r="H57" s="30">
        <f t="shared" si="3"/>
        <v>299960</v>
      </c>
      <c r="I57" s="24"/>
      <c r="J57" s="24"/>
      <c r="K57" s="13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</row>
    <row r="58" spans="1:42" ht="15">
      <c r="A58" s="145" t="s">
        <v>190</v>
      </c>
      <c r="B58" s="145"/>
      <c r="C58" s="121"/>
      <c r="D58" s="28">
        <f>SUM(D46:D57)-D47</f>
        <v>562102.5</v>
      </c>
      <c r="E58" s="28">
        <f>SUM(E46:E57)-E47</f>
        <v>1072625</v>
      </c>
      <c r="F58" s="28">
        <f>SUM(F46:F57)-F47</f>
        <v>639443</v>
      </c>
      <c r="G58" s="28">
        <f>SUM(G46:G57)-G47</f>
        <v>2631182</v>
      </c>
      <c r="H58" s="28">
        <f>SUM(H46:H57)-H47</f>
        <v>4905352.5</v>
      </c>
      <c r="I58" s="24"/>
      <c r="J58" s="24"/>
      <c r="K58" s="13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</row>
    <row r="59" spans="1:42" ht="15">
      <c r="A59" s="34"/>
      <c r="B59" s="34"/>
      <c r="C59" s="34"/>
      <c r="D59" s="144"/>
      <c r="E59" s="34"/>
      <c r="F59" s="34"/>
      <c r="G59" s="34"/>
      <c r="H59" s="34"/>
      <c r="I59" s="24"/>
      <c r="J59" s="24"/>
      <c r="K59" s="13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</row>
    <row r="60" spans="1:8" ht="16.5">
      <c r="A60" s="27"/>
      <c r="B60" s="27"/>
      <c r="C60" s="27"/>
      <c r="D60" s="27"/>
      <c r="E60" s="27"/>
      <c r="F60" s="27"/>
      <c r="G60" s="27"/>
      <c r="H60" s="27"/>
    </row>
    <row r="61" spans="1:8" ht="15">
      <c r="A61" s="148" t="s">
        <v>78</v>
      </c>
      <c r="B61" s="148"/>
      <c r="C61" s="122"/>
      <c r="D61" s="33" t="s">
        <v>88</v>
      </c>
      <c r="E61" s="33" t="s">
        <v>89</v>
      </c>
      <c r="F61" s="33" t="s">
        <v>189</v>
      </c>
      <c r="G61" s="33" t="s">
        <v>90</v>
      </c>
      <c r="H61" s="33" t="s">
        <v>29</v>
      </c>
    </row>
    <row r="62" spans="1:8" ht="14.25">
      <c r="A62" s="32" t="s">
        <v>188</v>
      </c>
      <c r="B62" s="31">
        <v>48109025</v>
      </c>
      <c r="C62" s="31"/>
      <c r="D62" s="30"/>
      <c r="E62" s="30"/>
      <c r="F62" s="30"/>
      <c r="G62" s="29"/>
      <c r="H62" s="29"/>
    </row>
    <row r="63" spans="1:8" ht="14.25">
      <c r="A63" s="32" t="s">
        <v>187</v>
      </c>
      <c r="B63" s="31">
        <v>4810902401</v>
      </c>
      <c r="C63" s="31"/>
      <c r="D63" s="30"/>
      <c r="E63" s="30"/>
      <c r="F63" s="30"/>
      <c r="G63" s="29"/>
      <c r="H63" s="29"/>
    </row>
    <row r="64" spans="1:8" ht="15">
      <c r="A64" s="145" t="s">
        <v>79</v>
      </c>
      <c r="B64" s="145"/>
      <c r="C64" s="121"/>
      <c r="D64" s="28">
        <f>SUM(D62:D63)</f>
        <v>0</v>
      </c>
      <c r="E64" s="28">
        <f>SUM(E62:E63)</f>
        <v>0</v>
      </c>
      <c r="F64" s="28">
        <f>SUM(F62:F63)</f>
        <v>0</v>
      </c>
      <c r="G64" s="28">
        <f>SUM(G62:G63)</f>
        <v>0</v>
      </c>
      <c r="H64" s="28">
        <f>SUM(H62:H63)</f>
        <v>0</v>
      </c>
    </row>
    <row r="65" spans="1:8" ht="16.5">
      <c r="A65" s="27"/>
      <c r="B65" s="27"/>
      <c r="C65" s="27"/>
      <c r="D65" s="27"/>
      <c r="E65" s="27"/>
      <c r="F65" s="27"/>
      <c r="G65" s="27"/>
      <c r="H65" s="27"/>
    </row>
  </sheetData>
  <sheetProtection/>
  <mergeCells count="13">
    <mergeCell ref="A2:H2"/>
    <mergeCell ref="A3:H3"/>
    <mergeCell ref="A4:H4"/>
    <mergeCell ref="A6:B6"/>
    <mergeCell ref="A13:B13"/>
    <mergeCell ref="A16:B16"/>
    <mergeCell ref="A64:B64"/>
    <mergeCell ref="A26:B26"/>
    <mergeCell ref="A29:B29"/>
    <mergeCell ref="A43:B43"/>
    <mergeCell ref="A45:B45"/>
    <mergeCell ref="A58:B58"/>
    <mergeCell ref="A61:B61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75" r:id="rId3"/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9"/>
  <sheetViews>
    <sheetView tabSelected="1" view="pageBreakPreview" zoomScale="75" zoomScaleNormal="75" zoomScaleSheetLayoutView="75" workbookViewId="0" topLeftCell="A1">
      <selection activeCell="A16" sqref="A16"/>
    </sheetView>
  </sheetViews>
  <sheetFormatPr defaultColWidth="11.421875" defaultRowHeight="12.75" outlineLevelRow="4" outlineLevelCol="1"/>
  <cols>
    <col min="1" max="1" width="74.00390625" style="1" customWidth="1"/>
    <col min="2" max="2" width="18.57421875" style="1" customWidth="1"/>
    <col min="3" max="4" width="18.00390625" style="1" hidden="1" customWidth="1" outlineLevel="1"/>
    <col min="5" max="5" width="18.7109375" style="1" hidden="1" customWidth="1" outlineLevel="1"/>
    <col min="6" max="6" width="19.28125" style="1" hidden="1" customWidth="1" outlineLevel="1"/>
    <col min="7" max="7" width="20.00390625" style="1" hidden="1" customWidth="1" outlineLevel="1"/>
    <col min="8" max="8" width="19.7109375" style="1" hidden="1" customWidth="1" outlineLevel="1"/>
    <col min="9" max="9" width="22.00390625" style="1" hidden="1" customWidth="1" outlineLevel="1"/>
    <col min="10" max="10" width="20.140625" style="1" customWidth="1" collapsed="1"/>
    <col min="11" max="11" width="20.140625" style="1" customWidth="1"/>
    <col min="12" max="12" width="12.140625" style="49" customWidth="1"/>
    <col min="13" max="13" width="14.57421875" style="1" customWidth="1"/>
    <col min="14" max="16384" width="11.421875" style="1" customWidth="1"/>
  </cols>
  <sheetData>
    <row r="1" spans="1:12" ht="21" customHeight="1">
      <c r="A1" s="152" t="s">
        <v>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5">
      <c r="A2" s="152" t="s">
        <v>27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5">
      <c r="A3" s="152" t="s">
        <v>251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5">
      <c r="A4" s="152" t="s">
        <v>75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5.75" thickBot="1">
      <c r="A5" s="104"/>
      <c r="B5" s="60"/>
      <c r="C5" s="105"/>
      <c r="D5" s="106"/>
      <c r="E5" s="106"/>
      <c r="F5" s="107"/>
      <c r="G5" s="107"/>
      <c r="H5" s="108"/>
      <c r="I5" s="107"/>
      <c r="J5" s="60"/>
      <c r="K5" s="60"/>
      <c r="L5" s="109"/>
    </row>
    <row r="6" spans="1:12" ht="90.75" thickTop="1">
      <c r="A6" s="110" t="s">
        <v>17</v>
      </c>
      <c r="B6" s="50" t="s">
        <v>247</v>
      </c>
      <c r="C6" s="50" t="s">
        <v>252</v>
      </c>
      <c r="D6" s="50" t="s">
        <v>253</v>
      </c>
      <c r="E6" s="50" t="s">
        <v>254</v>
      </c>
      <c r="F6" s="50" t="s">
        <v>255</v>
      </c>
      <c r="G6" s="50" t="s">
        <v>256</v>
      </c>
      <c r="H6" s="50" t="s">
        <v>257</v>
      </c>
      <c r="I6" s="50" t="s">
        <v>258</v>
      </c>
      <c r="J6" s="50" t="s">
        <v>259</v>
      </c>
      <c r="K6" s="50" t="s">
        <v>290</v>
      </c>
      <c r="L6" s="111" t="s">
        <v>249</v>
      </c>
    </row>
    <row r="7" spans="1:12" ht="15">
      <c r="A7" s="23" t="s">
        <v>49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84"/>
    </row>
    <row r="8" spans="1:12" ht="15">
      <c r="A8" s="112" t="s">
        <v>45</v>
      </c>
      <c r="B8" s="72">
        <v>3026667291.0348067</v>
      </c>
      <c r="C8" s="72">
        <f>SUM(C9:C18)</f>
        <v>863959344</v>
      </c>
      <c r="D8" s="72">
        <f>SUM(D9:D18)</f>
        <v>312793993</v>
      </c>
      <c r="E8" s="72">
        <f>SUM(E9:E18)</f>
        <v>185013457</v>
      </c>
      <c r="F8" s="72">
        <f>SUM(F9:F18)</f>
        <v>927235431</v>
      </c>
      <c r="G8" s="72">
        <f>SUM(G9:G18)</f>
        <v>287538099</v>
      </c>
      <c r="H8" s="72">
        <f>+C8+D8+F8+G8+E8</f>
        <v>2576540324</v>
      </c>
      <c r="I8" s="72">
        <f>SUM(I9:I18)</f>
        <v>381039272</v>
      </c>
      <c r="J8" s="72">
        <f>+H8+I8</f>
        <v>2957579596</v>
      </c>
      <c r="K8" s="72">
        <f>+J8-B8</f>
        <v>-69087695.03480673</v>
      </c>
      <c r="L8" s="73">
        <f>_xlfn.IFERROR((J8/B8),0)</f>
        <v>0.9771736737501842</v>
      </c>
    </row>
    <row r="9" spans="1:12" ht="14.25">
      <c r="A9" s="113" t="s">
        <v>51</v>
      </c>
      <c r="B9" s="65">
        <v>1973786238.6532264</v>
      </c>
      <c r="C9" s="65">
        <v>545635950</v>
      </c>
      <c r="D9" s="65">
        <v>221780618</v>
      </c>
      <c r="E9" s="65">
        <v>136987505</v>
      </c>
      <c r="F9" s="65">
        <v>621221720</v>
      </c>
      <c r="G9" s="65">
        <v>204045031</v>
      </c>
      <c r="H9" s="65">
        <f>+C9+D9+F9+G9+E9</f>
        <v>1729670824</v>
      </c>
      <c r="I9" s="65">
        <v>189841206</v>
      </c>
      <c r="J9" s="65">
        <f>+H9+I9</f>
        <v>1919512030</v>
      </c>
      <c r="K9" s="65">
        <f aca="true" t="shared" si="0" ref="K9:K19">+J9-B9</f>
        <v>-54274208.653226376</v>
      </c>
      <c r="L9" s="84">
        <f aca="true" t="shared" si="1" ref="L9:L19">_xlfn.IFERROR((J9/B9),0)</f>
        <v>0.9725024890789292</v>
      </c>
    </row>
    <row r="10" spans="1:12" ht="14.25">
      <c r="A10" s="113" t="s">
        <v>1</v>
      </c>
      <c r="B10" s="65">
        <v>81129028.6144</v>
      </c>
      <c r="C10" s="65">
        <v>23555746</v>
      </c>
      <c r="D10" s="65">
        <v>9289526</v>
      </c>
      <c r="E10" s="65">
        <v>5843358</v>
      </c>
      <c r="F10" s="65">
        <v>26311206</v>
      </c>
      <c r="G10" s="65">
        <v>8681359</v>
      </c>
      <c r="H10" s="65">
        <f aca="true" t="shared" si="2" ref="H10:H15">+C10+D10+F10+G10+E10</f>
        <v>73681195</v>
      </c>
      <c r="I10" s="65">
        <v>7024860</v>
      </c>
      <c r="J10" s="65">
        <f aca="true" t="shared" si="3" ref="J10:J18">+H10+I10</f>
        <v>80706055</v>
      </c>
      <c r="K10" s="65">
        <f t="shared" si="0"/>
        <v>-422973.6143999994</v>
      </c>
      <c r="L10" s="84">
        <f t="shared" si="1"/>
        <v>0.994786408494913</v>
      </c>
    </row>
    <row r="11" spans="1:12" ht="14.25">
      <c r="A11" s="113" t="s">
        <v>0</v>
      </c>
      <c r="B11" s="65">
        <v>123940557.22879997</v>
      </c>
      <c r="C11" s="65">
        <v>38962799</v>
      </c>
      <c r="D11" s="65">
        <v>10785672</v>
      </c>
      <c r="E11" s="65">
        <v>3961144</v>
      </c>
      <c r="F11" s="65">
        <v>44961679</v>
      </c>
      <c r="G11" s="65">
        <v>9693763</v>
      </c>
      <c r="H11" s="65">
        <f t="shared" si="2"/>
        <v>108365057</v>
      </c>
      <c r="I11" s="65">
        <v>14280348</v>
      </c>
      <c r="J11" s="65">
        <f t="shared" si="3"/>
        <v>122645405</v>
      </c>
      <c r="K11" s="65">
        <f t="shared" si="0"/>
        <v>-1295152.228799969</v>
      </c>
      <c r="L11" s="84">
        <f t="shared" si="1"/>
        <v>0.9895502145725465</v>
      </c>
    </row>
    <row r="12" spans="1:12" ht="14.25">
      <c r="A12" s="113" t="s">
        <v>12</v>
      </c>
      <c r="B12" s="65">
        <v>154386149.2012</v>
      </c>
      <c r="C12" s="65">
        <v>51724485</v>
      </c>
      <c r="D12" s="65"/>
      <c r="E12" s="65"/>
      <c r="F12" s="65"/>
      <c r="G12" s="65"/>
      <c r="H12" s="65">
        <f t="shared" si="2"/>
        <v>51724485</v>
      </c>
      <c r="I12" s="65">
        <v>99000267</v>
      </c>
      <c r="J12" s="65">
        <f t="shared" si="3"/>
        <v>150724752</v>
      </c>
      <c r="K12" s="65">
        <f t="shared" si="0"/>
        <v>-3661397.2012000084</v>
      </c>
      <c r="L12" s="84">
        <f t="shared" si="1"/>
        <v>0.9762841600743057</v>
      </c>
    </row>
    <row r="13" spans="1:12" ht="14.25">
      <c r="A13" s="113" t="s">
        <v>50</v>
      </c>
      <c r="B13" s="65">
        <v>5280000</v>
      </c>
      <c r="C13" s="65">
        <v>480000</v>
      </c>
      <c r="D13" s="65">
        <v>480000</v>
      </c>
      <c r="E13" s="65">
        <v>480000</v>
      </c>
      <c r="F13" s="65">
        <v>1440000</v>
      </c>
      <c r="G13" s="65">
        <v>480000</v>
      </c>
      <c r="H13" s="65">
        <f t="shared" si="2"/>
        <v>3360000</v>
      </c>
      <c r="I13" s="65">
        <v>1919312</v>
      </c>
      <c r="J13" s="65">
        <f t="shared" si="3"/>
        <v>5279312</v>
      </c>
      <c r="K13" s="65">
        <f t="shared" si="0"/>
        <v>-688</v>
      </c>
      <c r="L13" s="84">
        <f t="shared" si="1"/>
        <v>0.999869696969697</v>
      </c>
    </row>
    <row r="14" spans="1:12" ht="14.25">
      <c r="A14" s="113" t="s">
        <v>4</v>
      </c>
      <c r="B14" s="65">
        <v>123940557.22879997</v>
      </c>
      <c r="C14" s="65">
        <v>38962800</v>
      </c>
      <c r="D14" s="65">
        <v>10785674</v>
      </c>
      <c r="E14" s="65">
        <v>3961144</v>
      </c>
      <c r="F14" s="65">
        <v>44961679</v>
      </c>
      <c r="G14" s="65">
        <v>9693763</v>
      </c>
      <c r="H14" s="65">
        <f t="shared" si="2"/>
        <v>108365060</v>
      </c>
      <c r="I14" s="65">
        <v>14280348</v>
      </c>
      <c r="J14" s="65">
        <f t="shared" si="3"/>
        <v>122645408</v>
      </c>
      <c r="K14" s="65">
        <f t="shared" si="0"/>
        <v>-1295149.228799969</v>
      </c>
      <c r="L14" s="84">
        <f t="shared" si="1"/>
        <v>0.9895502387776984</v>
      </c>
    </row>
    <row r="15" spans="1:12" ht="14.25">
      <c r="A15" s="113" t="s">
        <v>5</v>
      </c>
      <c r="B15" s="65">
        <v>14872866.867455997</v>
      </c>
      <c r="C15" s="65">
        <v>4528766</v>
      </c>
      <c r="D15" s="65">
        <v>1274414</v>
      </c>
      <c r="E15" s="65">
        <v>460438</v>
      </c>
      <c r="F15" s="65">
        <v>5296632</v>
      </c>
      <c r="G15" s="65">
        <v>1127166</v>
      </c>
      <c r="H15" s="65">
        <f t="shared" si="2"/>
        <v>12687416</v>
      </c>
      <c r="I15" s="65">
        <v>1631722</v>
      </c>
      <c r="J15" s="65">
        <f t="shared" si="3"/>
        <v>14319138</v>
      </c>
      <c r="K15" s="65">
        <f t="shared" si="0"/>
        <v>-553728.8674559966</v>
      </c>
      <c r="L15" s="84">
        <f t="shared" si="1"/>
        <v>0.9627691908768687</v>
      </c>
    </row>
    <row r="16" spans="1:12" ht="14.25">
      <c r="A16" s="113" t="s">
        <v>2</v>
      </c>
      <c r="B16" s="65">
        <v>386895639.512134</v>
      </c>
      <c r="C16" s="65">
        <v>112041708</v>
      </c>
      <c r="D16" s="65">
        <v>40796416</v>
      </c>
      <c r="E16" s="65">
        <v>23327368</v>
      </c>
      <c r="F16" s="65">
        <v>128684081</v>
      </c>
      <c r="G16" s="65">
        <v>37644717</v>
      </c>
      <c r="H16" s="65">
        <f>+C16+D16+F16+G16+E16</f>
        <v>342494290</v>
      </c>
      <c r="I16" s="65">
        <v>37801909</v>
      </c>
      <c r="J16" s="65">
        <f t="shared" si="3"/>
        <v>380296199</v>
      </c>
      <c r="K16" s="65">
        <f t="shared" si="0"/>
        <v>-6599440.512134016</v>
      </c>
      <c r="L16" s="84">
        <f t="shared" si="1"/>
        <v>0.9829425823448004</v>
      </c>
    </row>
    <row r="17" spans="1:12" ht="14.25">
      <c r="A17" s="113" t="s">
        <v>6</v>
      </c>
      <c r="B17" s="65">
        <v>72193890.54612906</v>
      </c>
      <c r="C17" s="65">
        <v>21359800</v>
      </c>
      <c r="D17" s="65">
        <v>7822966</v>
      </c>
      <c r="E17" s="65">
        <v>4442200</v>
      </c>
      <c r="F17" s="65">
        <v>24159304</v>
      </c>
      <c r="G17" s="65">
        <v>7187200</v>
      </c>
      <c r="H17" s="65">
        <f>+C17+D17+F17+G17+E17</f>
        <v>64971470</v>
      </c>
      <c r="I17" s="65">
        <v>6782660</v>
      </c>
      <c r="J17" s="65">
        <f t="shared" si="3"/>
        <v>71754130</v>
      </c>
      <c r="K17" s="65">
        <f t="shared" si="0"/>
        <v>-439760.5461290628</v>
      </c>
      <c r="L17" s="84">
        <f t="shared" si="1"/>
        <v>0.9939086182666929</v>
      </c>
    </row>
    <row r="18" spans="1:12" ht="14.25">
      <c r="A18" s="113" t="s">
        <v>3</v>
      </c>
      <c r="B18" s="65">
        <v>90242363.18266132</v>
      </c>
      <c r="C18" s="65">
        <v>26707290</v>
      </c>
      <c r="D18" s="65">
        <v>9778707</v>
      </c>
      <c r="E18" s="65">
        <v>5550300</v>
      </c>
      <c r="F18" s="65">
        <v>30199130</v>
      </c>
      <c r="G18" s="65">
        <v>8985100</v>
      </c>
      <c r="H18" s="65">
        <f>+C18+D18+F18+G18+E18</f>
        <v>81220527</v>
      </c>
      <c r="I18" s="65">
        <v>8476640</v>
      </c>
      <c r="J18" s="65">
        <f t="shared" si="3"/>
        <v>89697167</v>
      </c>
      <c r="K18" s="65">
        <f t="shared" si="0"/>
        <v>-545196.1826613247</v>
      </c>
      <c r="L18" s="84">
        <f t="shared" si="1"/>
        <v>0.993958533847814</v>
      </c>
    </row>
    <row r="19" spans="1:12" ht="15">
      <c r="A19" s="19" t="s">
        <v>46</v>
      </c>
      <c r="B19" s="61">
        <v>3026667291.0348067</v>
      </c>
      <c r="C19" s="61">
        <f>SUM(C9:C18)</f>
        <v>863959344</v>
      </c>
      <c r="D19" s="61">
        <f>SUM(D9:D18)</f>
        <v>312793993</v>
      </c>
      <c r="E19" s="61">
        <f>SUM(E9:E18)</f>
        <v>185013457</v>
      </c>
      <c r="F19" s="61">
        <f>SUM(F9:F18)</f>
        <v>927235431</v>
      </c>
      <c r="G19" s="61">
        <f>SUM(G9:G18)</f>
        <v>287538099</v>
      </c>
      <c r="H19" s="61">
        <f>+C19+D19+F19+G19+E19</f>
        <v>2576540324</v>
      </c>
      <c r="I19" s="61">
        <f>SUM(I9:I18)</f>
        <v>381039272</v>
      </c>
      <c r="J19" s="61">
        <f>SUM(J9:J18)</f>
        <v>2957579596</v>
      </c>
      <c r="K19" s="61">
        <f t="shared" si="0"/>
        <v>-69087695.03480673</v>
      </c>
      <c r="L19" s="63">
        <f t="shared" si="1"/>
        <v>0.9771736737501842</v>
      </c>
    </row>
    <row r="20" spans="1:12" ht="15">
      <c r="A20" s="23" t="s">
        <v>13</v>
      </c>
      <c r="B20" s="65"/>
      <c r="C20" s="55"/>
      <c r="D20" s="55"/>
      <c r="E20" s="55"/>
      <c r="F20" s="55"/>
      <c r="G20" s="55"/>
      <c r="H20" s="65"/>
      <c r="I20" s="61"/>
      <c r="J20" s="65"/>
      <c r="K20" s="65"/>
      <c r="L20" s="84"/>
    </row>
    <row r="21" spans="1:12" ht="14.25">
      <c r="A21" s="43" t="s">
        <v>19</v>
      </c>
      <c r="B21" s="65">
        <v>133033770.86039999</v>
      </c>
      <c r="C21" s="65">
        <v>36695788</v>
      </c>
      <c r="D21" s="65"/>
      <c r="E21" s="65">
        <v>3500000</v>
      </c>
      <c r="F21" s="65">
        <v>8742859</v>
      </c>
      <c r="G21" s="65">
        <v>6000000</v>
      </c>
      <c r="H21" s="65">
        <f aca="true" t="shared" si="4" ref="H21:H37">+C21+D21+F21+G21+E21</f>
        <v>54938647</v>
      </c>
      <c r="I21" s="65">
        <v>76449771</v>
      </c>
      <c r="J21" s="65">
        <f>+I21+H21</f>
        <v>131388418</v>
      </c>
      <c r="K21" s="65">
        <f aca="true" t="shared" si="5" ref="K21:K37">+J21-B21</f>
        <v>-1645352.8603999913</v>
      </c>
      <c r="L21" s="84">
        <f aca="true" t="shared" si="6" ref="L21:L37">_xlfn.IFERROR((J21/B21),0)</f>
        <v>0.9876320662809254</v>
      </c>
    </row>
    <row r="22" spans="1:12" ht="14.25">
      <c r="A22" s="43" t="s">
        <v>42</v>
      </c>
      <c r="B22" s="65">
        <v>52743460.947808</v>
      </c>
      <c r="C22" s="65">
        <v>28023850</v>
      </c>
      <c r="D22" s="65">
        <v>1990435</v>
      </c>
      <c r="E22" s="65"/>
      <c r="F22" s="65">
        <v>11959510</v>
      </c>
      <c r="G22" s="65"/>
      <c r="H22" s="65">
        <f t="shared" si="4"/>
        <v>41973795</v>
      </c>
      <c r="I22" s="65">
        <v>9411757</v>
      </c>
      <c r="J22" s="65">
        <f aca="true" t="shared" si="7" ref="J22:J35">+H22+I22</f>
        <v>51385552</v>
      </c>
      <c r="K22" s="65">
        <f t="shared" si="5"/>
        <v>-1357908.9478079975</v>
      </c>
      <c r="L22" s="84">
        <f t="shared" si="6"/>
        <v>0.9742544587820714</v>
      </c>
    </row>
    <row r="23" spans="1:12" ht="14.25">
      <c r="A23" s="43" t="s">
        <v>21</v>
      </c>
      <c r="B23" s="65">
        <v>26501563.9064</v>
      </c>
      <c r="C23" s="65"/>
      <c r="D23" s="65"/>
      <c r="E23" s="65"/>
      <c r="F23" s="65">
        <v>8203459</v>
      </c>
      <c r="G23" s="65"/>
      <c r="H23" s="65">
        <f t="shared" si="4"/>
        <v>8203459</v>
      </c>
      <c r="I23" s="65">
        <v>16056720</v>
      </c>
      <c r="J23" s="65">
        <f t="shared" si="7"/>
        <v>24260179</v>
      </c>
      <c r="K23" s="65">
        <f t="shared" si="5"/>
        <v>-2241384.906399999</v>
      </c>
      <c r="L23" s="84">
        <f t="shared" si="6"/>
        <v>0.9154244287500816</v>
      </c>
    </row>
    <row r="24" spans="1:12" ht="14.25">
      <c r="A24" s="43" t="s">
        <v>16</v>
      </c>
      <c r="B24" s="65">
        <v>236414273.34995198</v>
      </c>
      <c r="C24" s="65">
        <v>29248744</v>
      </c>
      <c r="D24" s="65">
        <v>10000000</v>
      </c>
      <c r="E24" s="65">
        <v>5900933</v>
      </c>
      <c r="F24" s="65">
        <v>97070503</v>
      </c>
      <c r="G24" s="65">
        <v>9456795</v>
      </c>
      <c r="H24" s="65">
        <f t="shared" si="4"/>
        <v>151676975</v>
      </c>
      <c r="I24" s="65">
        <v>15580326</v>
      </c>
      <c r="J24" s="65">
        <f t="shared" si="7"/>
        <v>167257301</v>
      </c>
      <c r="K24" s="65">
        <f t="shared" si="5"/>
        <v>-69156972.34995198</v>
      </c>
      <c r="L24" s="84">
        <f t="shared" si="6"/>
        <v>0.7074754778127019</v>
      </c>
    </row>
    <row r="25" spans="1:12" ht="14.25">
      <c r="A25" s="43" t="s">
        <v>18</v>
      </c>
      <c r="B25" s="65">
        <v>15386624.8848</v>
      </c>
      <c r="C25" s="65">
        <v>1170400</v>
      </c>
      <c r="D25" s="65">
        <v>1403000</v>
      </c>
      <c r="E25" s="65">
        <v>1206700</v>
      </c>
      <c r="F25" s="65">
        <v>2156850</v>
      </c>
      <c r="G25" s="65">
        <v>1769400</v>
      </c>
      <c r="H25" s="65">
        <f t="shared" si="4"/>
        <v>7706350</v>
      </c>
      <c r="I25" s="65">
        <v>2818950</v>
      </c>
      <c r="J25" s="65">
        <f t="shared" si="7"/>
        <v>10525300</v>
      </c>
      <c r="K25" s="65">
        <f t="shared" si="5"/>
        <v>-4861324.8848</v>
      </c>
      <c r="L25" s="84">
        <f t="shared" si="6"/>
        <v>0.6840551504181815</v>
      </c>
    </row>
    <row r="26" spans="1:12" ht="14.25">
      <c r="A26" s="113" t="s">
        <v>43</v>
      </c>
      <c r="B26" s="65">
        <v>25000000</v>
      </c>
      <c r="C26" s="65"/>
      <c r="D26" s="65"/>
      <c r="E26" s="65"/>
      <c r="F26" s="65"/>
      <c r="G26" s="65"/>
      <c r="H26" s="65">
        <f t="shared" si="4"/>
        <v>0</v>
      </c>
      <c r="I26" s="65">
        <v>24645149</v>
      </c>
      <c r="J26" s="65">
        <f t="shared" si="7"/>
        <v>24645149</v>
      </c>
      <c r="K26" s="65">
        <f t="shared" si="5"/>
        <v>-354851</v>
      </c>
      <c r="L26" s="84">
        <f t="shared" si="6"/>
        <v>0.98580596</v>
      </c>
    </row>
    <row r="27" spans="1:12" ht="14.25">
      <c r="A27" s="43" t="s">
        <v>14</v>
      </c>
      <c r="B27" s="65">
        <v>50044091.4048</v>
      </c>
      <c r="C27" s="65">
        <v>5857628</v>
      </c>
      <c r="D27" s="65">
        <v>5857628</v>
      </c>
      <c r="E27" s="65">
        <v>5857628</v>
      </c>
      <c r="F27" s="65">
        <v>5857628</v>
      </c>
      <c r="G27" s="65">
        <v>5857628</v>
      </c>
      <c r="H27" s="65">
        <f t="shared" si="4"/>
        <v>29288140</v>
      </c>
      <c r="I27" s="65">
        <v>10574182</v>
      </c>
      <c r="J27" s="65">
        <f t="shared" si="7"/>
        <v>39862322</v>
      </c>
      <c r="K27" s="65">
        <f t="shared" si="5"/>
        <v>-10181769.404799998</v>
      </c>
      <c r="L27" s="84">
        <f t="shared" si="6"/>
        <v>0.7965440250989668</v>
      </c>
    </row>
    <row r="28" spans="1:12" ht="14.25">
      <c r="A28" s="43" t="s">
        <v>23</v>
      </c>
      <c r="B28" s="65">
        <v>75947158.46000001</v>
      </c>
      <c r="C28" s="65">
        <v>3108325</v>
      </c>
      <c r="D28" s="65">
        <v>594175</v>
      </c>
      <c r="E28" s="65"/>
      <c r="F28" s="65">
        <v>28204501</v>
      </c>
      <c r="G28" s="65"/>
      <c r="H28" s="65">
        <f t="shared" si="4"/>
        <v>31907001</v>
      </c>
      <c r="I28" s="65">
        <v>18700185</v>
      </c>
      <c r="J28" s="65">
        <f t="shared" si="7"/>
        <v>50607186</v>
      </c>
      <c r="K28" s="65">
        <f t="shared" si="5"/>
        <v>-25339972.46000001</v>
      </c>
      <c r="L28" s="84">
        <f t="shared" si="6"/>
        <v>0.6663473265646125</v>
      </c>
    </row>
    <row r="29" spans="1:12" ht="14.25">
      <c r="A29" s="43" t="s">
        <v>25</v>
      </c>
      <c r="B29" s="65">
        <v>161600000</v>
      </c>
      <c r="C29" s="65"/>
      <c r="D29" s="65"/>
      <c r="E29" s="65"/>
      <c r="F29" s="65">
        <v>28077910.02</v>
      </c>
      <c r="G29" s="65"/>
      <c r="H29" s="65">
        <f t="shared" si="4"/>
        <v>28077910.02</v>
      </c>
      <c r="I29" s="65">
        <v>74055137.48</v>
      </c>
      <c r="J29" s="65">
        <f t="shared" si="7"/>
        <v>102133047.5</v>
      </c>
      <c r="K29" s="65">
        <f t="shared" si="5"/>
        <v>-59466952.5</v>
      </c>
      <c r="L29" s="84">
        <f t="shared" si="6"/>
        <v>0.632011432549505</v>
      </c>
    </row>
    <row r="30" spans="1:12" ht="14.25">
      <c r="A30" s="43" t="s">
        <v>52</v>
      </c>
      <c r="B30" s="65">
        <v>271665791.44</v>
      </c>
      <c r="C30" s="65">
        <v>9675323</v>
      </c>
      <c r="D30" s="65">
        <v>12867368</v>
      </c>
      <c r="E30" s="65">
        <v>7097111</v>
      </c>
      <c r="F30" s="65">
        <v>182596027</v>
      </c>
      <c r="G30" s="65">
        <v>18288195</v>
      </c>
      <c r="H30" s="65">
        <f t="shared" si="4"/>
        <v>230524024</v>
      </c>
      <c r="I30" s="65">
        <v>17937939</v>
      </c>
      <c r="J30" s="65">
        <f t="shared" si="7"/>
        <v>248461963</v>
      </c>
      <c r="K30" s="65">
        <f t="shared" si="5"/>
        <v>-23203828.439999998</v>
      </c>
      <c r="L30" s="84">
        <f t="shared" si="6"/>
        <v>0.9145868594017484</v>
      </c>
    </row>
    <row r="31" spans="1:12" ht="14.25">
      <c r="A31" s="43" t="s">
        <v>20</v>
      </c>
      <c r="B31" s="65">
        <v>8068601.5748</v>
      </c>
      <c r="C31" s="65"/>
      <c r="D31" s="65"/>
      <c r="E31" s="65"/>
      <c r="F31" s="65"/>
      <c r="G31" s="65"/>
      <c r="H31" s="65">
        <f t="shared" si="4"/>
        <v>0</v>
      </c>
      <c r="I31" s="65">
        <v>8042450</v>
      </c>
      <c r="J31" s="65">
        <f t="shared" si="7"/>
        <v>8042450</v>
      </c>
      <c r="K31" s="65">
        <f t="shared" si="5"/>
        <v>-26151.574799999595</v>
      </c>
      <c r="L31" s="84">
        <f t="shared" si="6"/>
        <v>0.9967588466777593</v>
      </c>
    </row>
    <row r="32" spans="1:12" ht="14.25">
      <c r="A32" s="43" t="s">
        <v>22</v>
      </c>
      <c r="B32" s="65">
        <v>56854200</v>
      </c>
      <c r="C32" s="65">
        <v>9166639</v>
      </c>
      <c r="D32" s="65">
        <v>3585400</v>
      </c>
      <c r="E32" s="65">
        <v>1536600</v>
      </c>
      <c r="F32" s="65">
        <v>7126676</v>
      </c>
      <c r="G32" s="65">
        <v>8401168</v>
      </c>
      <c r="H32" s="65">
        <f t="shared" si="4"/>
        <v>29816483</v>
      </c>
      <c r="I32" s="65">
        <v>21672338</v>
      </c>
      <c r="J32" s="65">
        <f t="shared" si="7"/>
        <v>51488821</v>
      </c>
      <c r="K32" s="65">
        <f t="shared" si="5"/>
        <v>-5365379</v>
      </c>
      <c r="L32" s="84">
        <f t="shared" si="6"/>
        <v>0.9056291531672243</v>
      </c>
    </row>
    <row r="33" spans="1:12" ht="14.25">
      <c r="A33" s="43" t="s">
        <v>15</v>
      </c>
      <c r="B33" s="65">
        <v>55051089.9808</v>
      </c>
      <c r="C33" s="65">
        <v>2080517</v>
      </c>
      <c r="D33" s="65"/>
      <c r="E33" s="65"/>
      <c r="F33" s="65">
        <v>3842398</v>
      </c>
      <c r="G33" s="65"/>
      <c r="H33" s="65">
        <f t="shared" si="4"/>
        <v>5922915</v>
      </c>
      <c r="I33" s="65">
        <v>46131089</v>
      </c>
      <c r="J33" s="65">
        <f t="shared" si="7"/>
        <v>52054004</v>
      </c>
      <c r="K33" s="65">
        <f t="shared" si="5"/>
        <v>-2997085.980800003</v>
      </c>
      <c r="L33" s="84">
        <f t="shared" si="6"/>
        <v>0.9455580991794116</v>
      </c>
    </row>
    <row r="34" spans="1:12" ht="14.25">
      <c r="A34" s="43" t="s">
        <v>26</v>
      </c>
      <c r="B34" s="65">
        <v>41475540.518</v>
      </c>
      <c r="C34" s="65"/>
      <c r="D34" s="65"/>
      <c r="E34" s="65"/>
      <c r="F34" s="65"/>
      <c r="G34" s="65"/>
      <c r="H34" s="65">
        <f t="shared" si="4"/>
        <v>0</v>
      </c>
      <c r="I34" s="65">
        <v>41475541</v>
      </c>
      <c r="J34" s="65">
        <f t="shared" si="7"/>
        <v>41475541</v>
      </c>
      <c r="K34" s="65">
        <f t="shared" si="5"/>
        <v>0.4820000007748604</v>
      </c>
      <c r="L34" s="84">
        <f t="shared" si="6"/>
        <v>1.0000000116213072</v>
      </c>
    </row>
    <row r="35" spans="1:12" ht="14.25">
      <c r="A35" s="43" t="s">
        <v>24</v>
      </c>
      <c r="B35" s="65">
        <v>19817678.738</v>
      </c>
      <c r="C35" s="65"/>
      <c r="D35" s="65"/>
      <c r="E35" s="65"/>
      <c r="F35" s="65"/>
      <c r="G35" s="65"/>
      <c r="H35" s="65">
        <f t="shared" si="4"/>
        <v>0</v>
      </c>
      <c r="I35" s="65">
        <v>11501543</v>
      </c>
      <c r="J35" s="65">
        <f t="shared" si="7"/>
        <v>11501543</v>
      </c>
      <c r="K35" s="65">
        <f t="shared" si="5"/>
        <v>-8316135.738000002</v>
      </c>
      <c r="L35" s="84">
        <f t="shared" si="6"/>
        <v>0.5803678196652781</v>
      </c>
    </row>
    <row r="36" spans="1:12" ht="15">
      <c r="A36" s="19" t="s">
        <v>47</v>
      </c>
      <c r="B36" s="61">
        <v>1229603846.0657597</v>
      </c>
      <c r="C36" s="61">
        <f>SUM(C21:C35)</f>
        <v>125027214</v>
      </c>
      <c r="D36" s="61">
        <f>SUM(D21:D35)</f>
        <v>36298006</v>
      </c>
      <c r="E36" s="61">
        <f>SUM(E21:E35)</f>
        <v>25098972</v>
      </c>
      <c r="F36" s="61">
        <f>SUM(F21:F35)</f>
        <v>383838321.02</v>
      </c>
      <c r="G36" s="61">
        <f>SUM(G21:G35)</f>
        <v>49773186</v>
      </c>
      <c r="H36" s="114">
        <f t="shared" si="4"/>
        <v>620035699.02</v>
      </c>
      <c r="I36" s="61">
        <f>SUM(I21:I35)</f>
        <v>395053077.48</v>
      </c>
      <c r="J36" s="61">
        <f>SUM(J21:J35)</f>
        <v>1015088776.5</v>
      </c>
      <c r="K36" s="61">
        <f t="shared" si="5"/>
        <v>-214515069.56575966</v>
      </c>
      <c r="L36" s="63">
        <f t="shared" si="6"/>
        <v>0.8255413153983521</v>
      </c>
    </row>
    <row r="37" spans="1:12" ht="15">
      <c r="A37" s="19" t="s">
        <v>48</v>
      </c>
      <c r="B37" s="61">
        <v>4256271137.100567</v>
      </c>
      <c r="C37" s="61">
        <f>+C36+C19</f>
        <v>988986558</v>
      </c>
      <c r="D37" s="61">
        <f>+D36+D19</f>
        <v>349091999</v>
      </c>
      <c r="E37" s="61">
        <f>+E36+E19</f>
        <v>210112429</v>
      </c>
      <c r="F37" s="61">
        <f>+F36+F19</f>
        <v>1311073752.02</v>
      </c>
      <c r="G37" s="61">
        <f>+G36+G19</f>
        <v>337311285</v>
      </c>
      <c r="H37" s="114">
        <f t="shared" si="4"/>
        <v>3196576023.02</v>
      </c>
      <c r="I37" s="61">
        <f>+I36+I19</f>
        <v>776092349.48</v>
      </c>
      <c r="J37" s="61">
        <f>+J36+J19</f>
        <v>3972668372.5</v>
      </c>
      <c r="K37" s="61">
        <f t="shared" si="5"/>
        <v>-283602764.60056686</v>
      </c>
      <c r="L37" s="63">
        <f t="shared" si="6"/>
        <v>0.9333682569870864</v>
      </c>
    </row>
    <row r="38" spans="1:12" ht="14.25">
      <c r="A38" s="43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84"/>
    </row>
    <row r="39" spans="1:12" ht="15">
      <c r="A39" s="19" t="s">
        <v>10</v>
      </c>
      <c r="B39" s="61">
        <v>15873268587.939556</v>
      </c>
      <c r="C39" s="61">
        <f>+C41+C139+C196+C204</f>
        <v>1653789241</v>
      </c>
      <c r="D39" s="61">
        <f>+D41+D48+D84+D139+D169+D196+D204+D215</f>
        <v>1193855347</v>
      </c>
      <c r="E39" s="61">
        <f>+E41+E48+E84+E139+E169+E196+E204+E215</f>
        <v>942535688</v>
      </c>
      <c r="F39" s="61">
        <f>+F41+F48+F84+F139+F169+F196+F204+F215</f>
        <v>5146919215</v>
      </c>
      <c r="G39" s="61">
        <f>+G41+G48+G84+G139+G169+G196+G204+G215</f>
        <v>5962116705</v>
      </c>
      <c r="H39" s="61">
        <f>+C39+D39+F39+G39+E39</f>
        <v>14899216196</v>
      </c>
      <c r="I39" s="61">
        <v>0</v>
      </c>
      <c r="J39" s="61">
        <f>+I39+H39</f>
        <v>14899216196</v>
      </c>
      <c r="K39" s="61">
        <f>+J39-B39</f>
        <v>-974052391.9395561</v>
      </c>
      <c r="L39" s="63">
        <f>_xlfn.IFERROR((J39/B39),0)</f>
        <v>0.9386356762916721</v>
      </c>
    </row>
    <row r="40" spans="1:12" ht="15">
      <c r="A40" s="19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3"/>
    </row>
    <row r="41" spans="1:12" s="60" customFormat="1" ht="31.5" customHeight="1">
      <c r="A41" s="11" t="s">
        <v>94</v>
      </c>
      <c r="B41" s="58">
        <v>123034440.55699998</v>
      </c>
      <c r="C41" s="58">
        <f>+C42</f>
        <v>119512531</v>
      </c>
      <c r="D41" s="58"/>
      <c r="E41" s="58"/>
      <c r="F41" s="58"/>
      <c r="G41" s="58"/>
      <c r="H41" s="58">
        <f>SUM(C41:G41)</f>
        <v>119512531</v>
      </c>
      <c r="I41" s="58"/>
      <c r="J41" s="58">
        <f>+I41+H41</f>
        <v>119512531</v>
      </c>
      <c r="K41" s="58">
        <f aca="true" t="shared" si="8" ref="K41:K46">+J41-B41</f>
        <v>-3521909.5569999814</v>
      </c>
      <c r="L41" s="59">
        <f aca="true" t="shared" si="9" ref="L41:L46">_xlfn.IFERROR((J41/B41),0)</f>
        <v>0.9713746042079304</v>
      </c>
    </row>
    <row r="42" spans="1:12" s="64" customFormat="1" ht="15">
      <c r="A42" s="13" t="s">
        <v>8</v>
      </c>
      <c r="B42" s="61">
        <v>123034440.55699998</v>
      </c>
      <c r="C42" s="61">
        <f>+C43+C45+C46+C44</f>
        <v>119512531</v>
      </c>
      <c r="D42" s="62"/>
      <c r="E42" s="62"/>
      <c r="F42" s="62"/>
      <c r="G42" s="62"/>
      <c r="H42" s="61">
        <f>+C42+D42+E42+F42+G42</f>
        <v>119512531</v>
      </c>
      <c r="I42" s="62"/>
      <c r="J42" s="61">
        <f>+H42+I42</f>
        <v>119512531</v>
      </c>
      <c r="K42" s="61">
        <f t="shared" si="8"/>
        <v>-3521909.5569999814</v>
      </c>
      <c r="L42" s="63">
        <f t="shared" si="9"/>
        <v>0.9713746042079304</v>
      </c>
    </row>
    <row r="43" spans="1:12" s="64" customFormat="1" ht="15" hidden="1" outlineLevel="1">
      <c r="A43" s="12" t="s">
        <v>57</v>
      </c>
      <c r="B43" s="66">
        <v>37562838.5184</v>
      </c>
      <c r="C43" s="65">
        <v>37562832</v>
      </c>
      <c r="D43" s="62"/>
      <c r="E43" s="62"/>
      <c r="F43" s="62"/>
      <c r="G43" s="62"/>
      <c r="H43" s="65">
        <f>+C43+D43+E43+F43+G43</f>
        <v>37562832</v>
      </c>
      <c r="I43" s="62"/>
      <c r="J43" s="66">
        <f>+H43+I43</f>
        <v>37562832</v>
      </c>
      <c r="K43" s="66">
        <f t="shared" si="8"/>
        <v>-6.518399998545647</v>
      </c>
      <c r="L43" s="67">
        <f t="shared" si="9"/>
        <v>0.9999998264667885</v>
      </c>
    </row>
    <row r="44" spans="1:12" s="64" customFormat="1" ht="15" hidden="1" outlineLevel="1">
      <c r="A44" s="12" t="s">
        <v>156</v>
      </c>
      <c r="B44" s="66">
        <v>15000000</v>
      </c>
      <c r="C44" s="65">
        <v>15000000</v>
      </c>
      <c r="D44" s="62"/>
      <c r="E44" s="62"/>
      <c r="F44" s="62"/>
      <c r="G44" s="62"/>
      <c r="H44" s="65">
        <f>+C44+D44+E44+F44+G44</f>
        <v>15000000</v>
      </c>
      <c r="I44" s="62"/>
      <c r="J44" s="66">
        <f>+H44+I44</f>
        <v>15000000</v>
      </c>
      <c r="K44" s="66">
        <f t="shared" si="8"/>
        <v>0</v>
      </c>
      <c r="L44" s="67">
        <f t="shared" si="9"/>
        <v>1</v>
      </c>
    </row>
    <row r="45" spans="1:12" s="64" customFormat="1" ht="15" hidden="1" outlineLevel="1">
      <c r="A45" s="12" t="s">
        <v>58</v>
      </c>
      <c r="B45" s="66">
        <v>0</v>
      </c>
      <c r="C45" s="65">
        <v>0</v>
      </c>
      <c r="D45" s="62"/>
      <c r="E45" s="62"/>
      <c r="F45" s="62"/>
      <c r="G45" s="62"/>
      <c r="H45" s="65">
        <f>+C45+D45+E45+F45+G45</f>
        <v>0</v>
      </c>
      <c r="I45" s="62"/>
      <c r="J45" s="66">
        <f>+H45+I45</f>
        <v>0</v>
      </c>
      <c r="K45" s="66">
        <f t="shared" si="8"/>
        <v>0</v>
      </c>
      <c r="L45" s="67">
        <f t="shared" si="9"/>
        <v>0</v>
      </c>
    </row>
    <row r="46" spans="1:12" s="64" customFormat="1" ht="15" hidden="1" outlineLevel="1">
      <c r="A46" s="12" t="s">
        <v>81</v>
      </c>
      <c r="B46" s="66">
        <v>70471602.0386</v>
      </c>
      <c r="C46" s="65">
        <v>66949699</v>
      </c>
      <c r="D46" s="62"/>
      <c r="E46" s="62"/>
      <c r="F46" s="62"/>
      <c r="G46" s="62"/>
      <c r="H46" s="65">
        <f>+C46+D46+E46+F46+G46</f>
        <v>66949699</v>
      </c>
      <c r="I46" s="62"/>
      <c r="J46" s="66">
        <f>+H46+I46</f>
        <v>66949699</v>
      </c>
      <c r="K46" s="66">
        <f t="shared" si="8"/>
        <v>-3521903.0385999978</v>
      </c>
      <c r="L46" s="67">
        <f t="shared" si="9"/>
        <v>0.9500237977182509</v>
      </c>
    </row>
    <row r="47" spans="1:12" s="64" customFormat="1" ht="15" collapsed="1">
      <c r="A47" s="12"/>
      <c r="B47" s="66"/>
      <c r="C47" s="65"/>
      <c r="D47" s="62"/>
      <c r="E47" s="62"/>
      <c r="F47" s="62"/>
      <c r="G47" s="62"/>
      <c r="H47" s="65"/>
      <c r="I47" s="62"/>
      <c r="J47" s="66"/>
      <c r="K47" s="66"/>
      <c r="L47" s="67"/>
    </row>
    <row r="48" spans="1:12" s="60" customFormat="1" ht="35.25" customHeight="1">
      <c r="A48" s="11" t="s">
        <v>95</v>
      </c>
      <c r="B48" s="58">
        <v>5659810937</v>
      </c>
      <c r="C48" s="58"/>
      <c r="D48" s="58"/>
      <c r="E48" s="58"/>
      <c r="F48" s="58"/>
      <c r="G48" s="58">
        <f>+G49+G57+G64+G68+G74+G78</f>
        <v>5557817318</v>
      </c>
      <c r="H48" s="58">
        <f>SUM(C48:G48)</f>
        <v>5557817318</v>
      </c>
      <c r="I48" s="58"/>
      <c r="J48" s="58">
        <f>+I48+H48</f>
        <v>5557817318</v>
      </c>
      <c r="K48" s="58">
        <f aca="true" t="shared" si="10" ref="K48:K82">+J48-B48</f>
        <v>-101993619</v>
      </c>
      <c r="L48" s="59">
        <f aca="true" t="shared" si="11" ref="L48:L82">_xlfn.IFERROR((J48/B48),0)</f>
        <v>0.9819793240206603</v>
      </c>
    </row>
    <row r="49" spans="1:12" ht="18.75" customHeight="1">
      <c r="A49" s="13" t="s">
        <v>159</v>
      </c>
      <c r="B49" s="61">
        <v>299486790</v>
      </c>
      <c r="C49" s="70"/>
      <c r="D49" s="65"/>
      <c r="E49" s="65"/>
      <c r="F49" s="65"/>
      <c r="G49" s="72">
        <f>SUM(G50:G56)</f>
        <v>279138821</v>
      </c>
      <c r="H49" s="61">
        <f aca="true" t="shared" si="12" ref="H49:H62">+C49+D49+E49+F49+G49</f>
        <v>279138821</v>
      </c>
      <c r="I49" s="55"/>
      <c r="J49" s="61">
        <f>+J50+J51+J52+J53+J54+J55+J56</f>
        <v>279138821</v>
      </c>
      <c r="K49" s="61">
        <f t="shared" si="10"/>
        <v>-20347969</v>
      </c>
      <c r="L49" s="63">
        <f t="shared" si="11"/>
        <v>0.9320572069305628</v>
      </c>
    </row>
    <row r="50" spans="1:12" ht="16.5" customHeight="1" hidden="1" outlineLevel="1">
      <c r="A50" s="15" t="s">
        <v>96</v>
      </c>
      <c r="B50" s="66">
        <v>36667508</v>
      </c>
      <c r="C50" s="120"/>
      <c r="D50" s="65"/>
      <c r="E50" s="65"/>
      <c r="F50" s="65"/>
      <c r="G50" s="66">
        <v>36667508</v>
      </c>
      <c r="H50" s="66">
        <f t="shared" si="12"/>
        <v>36667508</v>
      </c>
      <c r="I50" s="55"/>
      <c r="J50" s="66">
        <f aca="true" t="shared" si="13" ref="J50:J56">+I50+H50</f>
        <v>36667508</v>
      </c>
      <c r="K50" s="66">
        <f t="shared" si="10"/>
        <v>0</v>
      </c>
      <c r="L50" s="67">
        <f t="shared" si="11"/>
        <v>1</v>
      </c>
    </row>
    <row r="51" spans="1:12" ht="15" customHeight="1" hidden="1" outlineLevel="1">
      <c r="A51" s="15" t="s">
        <v>97</v>
      </c>
      <c r="B51" s="66">
        <v>60311785</v>
      </c>
      <c r="C51" s="120"/>
      <c r="D51" s="65"/>
      <c r="E51" s="65"/>
      <c r="F51" s="65"/>
      <c r="G51" s="66">
        <v>60311785</v>
      </c>
      <c r="H51" s="66">
        <f t="shared" si="12"/>
        <v>60311785</v>
      </c>
      <c r="I51" s="55"/>
      <c r="J51" s="66">
        <f t="shared" si="13"/>
        <v>60311785</v>
      </c>
      <c r="K51" s="66">
        <f t="shared" si="10"/>
        <v>0</v>
      </c>
      <c r="L51" s="67">
        <f t="shared" si="11"/>
        <v>1</v>
      </c>
    </row>
    <row r="52" spans="1:12" ht="15.75" customHeight="1" hidden="1" outlineLevel="1">
      <c r="A52" s="15" t="s">
        <v>98</v>
      </c>
      <c r="B52" s="66">
        <v>18439200</v>
      </c>
      <c r="C52" s="120"/>
      <c r="D52" s="65"/>
      <c r="E52" s="65"/>
      <c r="F52" s="65"/>
      <c r="G52" s="66">
        <v>18400000</v>
      </c>
      <c r="H52" s="66">
        <f t="shared" si="12"/>
        <v>18400000</v>
      </c>
      <c r="I52" s="55"/>
      <c r="J52" s="66">
        <f t="shared" si="13"/>
        <v>18400000</v>
      </c>
      <c r="K52" s="66">
        <f t="shared" si="10"/>
        <v>-39200</v>
      </c>
      <c r="L52" s="67">
        <f t="shared" si="11"/>
        <v>0.9978740943207949</v>
      </c>
    </row>
    <row r="53" spans="1:12" ht="15" customHeight="1" hidden="1" outlineLevel="1">
      <c r="A53" s="15" t="s">
        <v>80</v>
      </c>
      <c r="B53" s="66">
        <v>22648209</v>
      </c>
      <c r="C53" s="120"/>
      <c r="D53" s="65"/>
      <c r="E53" s="65"/>
      <c r="F53" s="65"/>
      <c r="G53" s="66">
        <v>22616286</v>
      </c>
      <c r="H53" s="66">
        <f t="shared" si="12"/>
        <v>22616286</v>
      </c>
      <c r="I53" s="55"/>
      <c r="J53" s="66">
        <f t="shared" si="13"/>
        <v>22616286</v>
      </c>
      <c r="K53" s="66">
        <f t="shared" si="10"/>
        <v>-31923</v>
      </c>
      <c r="L53" s="47">
        <f t="shared" si="11"/>
        <v>0.9985904845720913</v>
      </c>
    </row>
    <row r="54" spans="1:12" ht="15.75" customHeight="1" hidden="1" outlineLevel="1">
      <c r="A54" s="15" t="s">
        <v>99</v>
      </c>
      <c r="B54" s="66">
        <v>100000000</v>
      </c>
      <c r="C54" s="120"/>
      <c r="D54" s="65"/>
      <c r="E54" s="65"/>
      <c r="F54" s="65"/>
      <c r="G54" s="66">
        <v>80000000</v>
      </c>
      <c r="H54" s="66">
        <f t="shared" si="12"/>
        <v>80000000</v>
      </c>
      <c r="I54" s="55"/>
      <c r="J54" s="66">
        <f t="shared" si="13"/>
        <v>80000000</v>
      </c>
      <c r="K54" s="66">
        <f t="shared" si="10"/>
        <v>-20000000</v>
      </c>
      <c r="L54" s="67">
        <f t="shared" si="11"/>
        <v>0.8</v>
      </c>
    </row>
    <row r="55" spans="1:12" ht="15" customHeight="1" hidden="1" outlineLevel="1">
      <c r="A55" s="15" t="s">
        <v>168</v>
      </c>
      <c r="B55" s="66">
        <v>29420088</v>
      </c>
      <c r="C55" s="120"/>
      <c r="D55" s="65"/>
      <c r="E55" s="65"/>
      <c r="F55" s="65"/>
      <c r="G55" s="66">
        <v>29143242</v>
      </c>
      <c r="H55" s="66">
        <f t="shared" si="12"/>
        <v>29143242</v>
      </c>
      <c r="I55" s="55"/>
      <c r="J55" s="66">
        <f t="shared" si="13"/>
        <v>29143242</v>
      </c>
      <c r="K55" s="66">
        <f t="shared" si="10"/>
        <v>-276846</v>
      </c>
      <c r="L55" s="67">
        <f t="shared" si="11"/>
        <v>0.990589898983307</v>
      </c>
    </row>
    <row r="56" spans="1:12" ht="16.5" customHeight="1" hidden="1" outlineLevel="1">
      <c r="A56" s="15" t="s">
        <v>169</v>
      </c>
      <c r="B56" s="66">
        <v>32000000</v>
      </c>
      <c r="C56" s="120"/>
      <c r="D56" s="65"/>
      <c r="E56" s="65"/>
      <c r="F56" s="65"/>
      <c r="G56" s="66">
        <v>32000000</v>
      </c>
      <c r="H56" s="66">
        <f t="shared" si="12"/>
        <v>32000000</v>
      </c>
      <c r="I56" s="55"/>
      <c r="J56" s="66">
        <f t="shared" si="13"/>
        <v>32000000</v>
      </c>
      <c r="K56" s="66">
        <f t="shared" si="10"/>
        <v>0</v>
      </c>
      <c r="L56" s="67">
        <f t="shared" si="11"/>
        <v>1</v>
      </c>
    </row>
    <row r="57" spans="1:12" ht="15" collapsed="1">
      <c r="A57" s="71" t="s">
        <v>162</v>
      </c>
      <c r="B57" s="61">
        <v>910766761</v>
      </c>
      <c r="C57" s="61"/>
      <c r="D57" s="65"/>
      <c r="E57" s="65"/>
      <c r="F57" s="65"/>
      <c r="G57" s="72">
        <f>SUM(G58:G63)</f>
        <v>895580198</v>
      </c>
      <c r="H57" s="61">
        <f>+C57+D57+E57+F57+G57</f>
        <v>895580198</v>
      </c>
      <c r="I57" s="55"/>
      <c r="J57" s="61">
        <f>+J58+J59+J60+J62+J63+J61</f>
        <v>895580198</v>
      </c>
      <c r="K57" s="61">
        <f t="shared" si="10"/>
        <v>-15186563</v>
      </c>
      <c r="L57" s="63">
        <f t="shared" si="11"/>
        <v>0.983325519056794</v>
      </c>
    </row>
    <row r="58" spans="1:12" ht="14.25" hidden="1" outlineLevel="1">
      <c r="A58" s="16" t="s">
        <v>100</v>
      </c>
      <c r="B58" s="66">
        <v>275439337</v>
      </c>
      <c r="C58" s="120"/>
      <c r="D58" s="65"/>
      <c r="E58" s="65"/>
      <c r="F58" s="65"/>
      <c r="G58" s="66">
        <v>269606980</v>
      </c>
      <c r="H58" s="66">
        <f t="shared" si="12"/>
        <v>269606980</v>
      </c>
      <c r="I58" s="55"/>
      <c r="J58" s="66">
        <f aca="true" t="shared" si="14" ref="J58:J67">+I58+H58</f>
        <v>269606980</v>
      </c>
      <c r="K58" s="66">
        <f t="shared" si="10"/>
        <v>-5832357</v>
      </c>
      <c r="L58" s="67">
        <f t="shared" si="11"/>
        <v>0.9788252576283248</v>
      </c>
    </row>
    <row r="59" spans="1:12" ht="14.25" hidden="1" outlineLevel="1">
      <c r="A59" s="16" t="s">
        <v>101</v>
      </c>
      <c r="B59" s="66">
        <v>188792646</v>
      </c>
      <c r="C59" s="120"/>
      <c r="D59" s="65"/>
      <c r="E59" s="65"/>
      <c r="F59" s="65"/>
      <c r="G59" s="66">
        <v>179950646</v>
      </c>
      <c r="H59" s="66">
        <f t="shared" si="12"/>
        <v>179950646</v>
      </c>
      <c r="I59" s="55"/>
      <c r="J59" s="66">
        <f t="shared" si="14"/>
        <v>179950646</v>
      </c>
      <c r="K59" s="66">
        <f t="shared" si="10"/>
        <v>-8842000</v>
      </c>
      <c r="L59" s="67">
        <f t="shared" si="11"/>
        <v>0.9531655486199394</v>
      </c>
    </row>
    <row r="60" spans="1:12" ht="14.25" hidden="1" outlineLevel="1">
      <c r="A60" s="16" t="s">
        <v>102</v>
      </c>
      <c r="B60" s="66">
        <v>148039499</v>
      </c>
      <c r="C60" s="120"/>
      <c r="D60" s="65"/>
      <c r="E60" s="65"/>
      <c r="F60" s="65"/>
      <c r="G60" s="66">
        <v>147955724</v>
      </c>
      <c r="H60" s="66">
        <f t="shared" si="12"/>
        <v>147955724</v>
      </c>
      <c r="I60" s="55"/>
      <c r="J60" s="66">
        <f t="shared" si="14"/>
        <v>147955724</v>
      </c>
      <c r="K60" s="66">
        <f t="shared" si="10"/>
        <v>-83775</v>
      </c>
      <c r="L60" s="67">
        <f t="shared" si="11"/>
        <v>0.9994341037320047</v>
      </c>
    </row>
    <row r="61" spans="1:12" ht="14.25" hidden="1" outlineLevel="1">
      <c r="A61" s="16" t="s">
        <v>103</v>
      </c>
      <c r="B61" s="66">
        <v>247070235</v>
      </c>
      <c r="C61" s="120"/>
      <c r="D61" s="65"/>
      <c r="E61" s="65"/>
      <c r="F61" s="65"/>
      <c r="G61" s="66">
        <v>247070151</v>
      </c>
      <c r="H61" s="66">
        <f t="shared" si="12"/>
        <v>247070151</v>
      </c>
      <c r="I61" s="55"/>
      <c r="J61" s="66">
        <f t="shared" si="14"/>
        <v>247070151</v>
      </c>
      <c r="K61" s="66">
        <f t="shared" si="10"/>
        <v>-84</v>
      </c>
      <c r="L61" s="67">
        <f t="shared" si="11"/>
        <v>0.9999996600157036</v>
      </c>
    </row>
    <row r="62" spans="1:12" ht="14.25" hidden="1" outlineLevel="1">
      <c r="A62" s="16" t="s">
        <v>104</v>
      </c>
      <c r="B62" s="66">
        <v>17425044</v>
      </c>
      <c r="C62" s="120"/>
      <c r="D62" s="65"/>
      <c r="E62" s="65"/>
      <c r="F62" s="65"/>
      <c r="G62" s="66">
        <v>17013569</v>
      </c>
      <c r="H62" s="66">
        <f t="shared" si="12"/>
        <v>17013569</v>
      </c>
      <c r="I62" s="55"/>
      <c r="J62" s="66">
        <f t="shared" si="14"/>
        <v>17013569</v>
      </c>
      <c r="K62" s="66">
        <f t="shared" si="10"/>
        <v>-411475</v>
      </c>
      <c r="L62" s="67">
        <f t="shared" si="11"/>
        <v>0.9763859993696429</v>
      </c>
    </row>
    <row r="63" spans="1:12" ht="14.25" hidden="1" outlineLevel="1">
      <c r="A63" s="16" t="s">
        <v>105</v>
      </c>
      <c r="B63" s="66">
        <v>34000000</v>
      </c>
      <c r="C63" s="120"/>
      <c r="D63" s="65"/>
      <c r="E63" s="65"/>
      <c r="F63" s="65"/>
      <c r="G63" s="66">
        <v>33983128</v>
      </c>
      <c r="H63" s="66">
        <f aca="true" t="shared" si="15" ref="H63:H72">+C63+D63+E63+F63+G63</f>
        <v>33983128</v>
      </c>
      <c r="I63" s="55"/>
      <c r="J63" s="66">
        <f t="shared" si="14"/>
        <v>33983128</v>
      </c>
      <c r="K63" s="66">
        <f t="shared" si="10"/>
        <v>-16872</v>
      </c>
      <c r="L63" s="67">
        <f t="shared" si="11"/>
        <v>0.9995037647058823</v>
      </c>
    </row>
    <row r="64" spans="1:12" ht="30" collapsed="1">
      <c r="A64" s="71" t="s">
        <v>170</v>
      </c>
      <c r="B64" s="72">
        <v>169042000</v>
      </c>
      <c r="C64" s="70"/>
      <c r="D64" s="65"/>
      <c r="E64" s="65"/>
      <c r="F64" s="65"/>
      <c r="G64" s="72">
        <f>+G65+G66+G67</f>
        <v>155887194</v>
      </c>
      <c r="H64" s="72">
        <f t="shared" si="15"/>
        <v>155887194</v>
      </c>
      <c r="I64" s="55"/>
      <c r="J64" s="72">
        <f>+I64+H64</f>
        <v>155887194</v>
      </c>
      <c r="K64" s="72">
        <f t="shared" si="10"/>
        <v>-13154806</v>
      </c>
      <c r="L64" s="73">
        <f t="shared" si="11"/>
        <v>0.9221802510618663</v>
      </c>
    </row>
    <row r="65" spans="1:12" ht="14.25" hidden="1" outlineLevel="1">
      <c r="A65" s="16" t="s">
        <v>205</v>
      </c>
      <c r="B65" s="66">
        <v>38500000</v>
      </c>
      <c r="C65" s="120"/>
      <c r="D65" s="65"/>
      <c r="E65" s="65"/>
      <c r="F65" s="65"/>
      <c r="G65" s="66">
        <v>38500000</v>
      </c>
      <c r="H65" s="66">
        <f t="shared" si="15"/>
        <v>38500000</v>
      </c>
      <c r="I65" s="55"/>
      <c r="J65" s="66">
        <f t="shared" si="14"/>
        <v>38500000</v>
      </c>
      <c r="K65" s="66">
        <f t="shared" si="10"/>
        <v>0</v>
      </c>
      <c r="L65" s="67">
        <f t="shared" si="11"/>
        <v>1</v>
      </c>
    </row>
    <row r="66" spans="1:12" ht="14.25" hidden="1" outlineLevel="1">
      <c r="A66" s="16" t="s">
        <v>225</v>
      </c>
      <c r="B66" s="66">
        <v>24420000</v>
      </c>
      <c r="C66" s="120"/>
      <c r="D66" s="65"/>
      <c r="E66" s="65"/>
      <c r="F66" s="65"/>
      <c r="G66" s="66">
        <v>12708923</v>
      </c>
      <c r="H66" s="66">
        <f t="shared" si="15"/>
        <v>12708923</v>
      </c>
      <c r="I66" s="55"/>
      <c r="J66" s="66">
        <f t="shared" si="14"/>
        <v>12708923</v>
      </c>
      <c r="K66" s="66">
        <f t="shared" si="10"/>
        <v>-11711077</v>
      </c>
      <c r="L66" s="67">
        <f t="shared" si="11"/>
        <v>0.5204309172809173</v>
      </c>
    </row>
    <row r="67" spans="1:12" ht="14.25" hidden="1" outlineLevel="1">
      <c r="A67" s="16" t="s">
        <v>171</v>
      </c>
      <c r="B67" s="66">
        <v>106122000</v>
      </c>
      <c r="C67" s="120"/>
      <c r="D67" s="65"/>
      <c r="E67" s="65"/>
      <c r="F67" s="65"/>
      <c r="G67" s="66">
        <v>104678271</v>
      </c>
      <c r="H67" s="66">
        <f t="shared" si="15"/>
        <v>104678271</v>
      </c>
      <c r="I67" s="55"/>
      <c r="J67" s="66">
        <f t="shared" si="14"/>
        <v>104678271</v>
      </c>
      <c r="K67" s="66">
        <f t="shared" si="10"/>
        <v>-1443729</v>
      </c>
      <c r="L67" s="67">
        <f t="shared" si="11"/>
        <v>0.986395573019732</v>
      </c>
    </row>
    <row r="68" spans="1:12" ht="15" collapsed="1">
      <c r="A68" s="74" t="s">
        <v>73</v>
      </c>
      <c r="B68" s="61">
        <f>SUM(B69:B73)</f>
        <v>3567823251</v>
      </c>
      <c r="C68" s="70"/>
      <c r="D68" s="65"/>
      <c r="E68" s="65"/>
      <c r="F68" s="65"/>
      <c r="G68" s="72">
        <f>SUM(G69:G73)</f>
        <v>3548599579</v>
      </c>
      <c r="H68" s="72">
        <f t="shared" si="15"/>
        <v>3548599579</v>
      </c>
      <c r="I68" s="55"/>
      <c r="J68" s="61">
        <f>+J69+J70+J71+J72+J73</f>
        <v>3548599579</v>
      </c>
      <c r="K68" s="61">
        <f t="shared" si="10"/>
        <v>-19223672</v>
      </c>
      <c r="L68" s="63">
        <f t="shared" si="11"/>
        <v>0.9946119326413908</v>
      </c>
    </row>
    <row r="69" spans="1:12" ht="15" customHeight="1" hidden="1" outlineLevel="1">
      <c r="A69" s="15" t="s">
        <v>106</v>
      </c>
      <c r="B69" s="66">
        <v>3177151600</v>
      </c>
      <c r="C69" s="70"/>
      <c r="D69" s="65"/>
      <c r="E69" s="65"/>
      <c r="F69" s="65"/>
      <c r="G69" s="66">
        <v>3177151600</v>
      </c>
      <c r="H69" s="66">
        <f t="shared" si="15"/>
        <v>3177151600</v>
      </c>
      <c r="I69" s="55"/>
      <c r="J69" s="66">
        <f>+I69+H69</f>
        <v>3177151600</v>
      </c>
      <c r="K69" s="66">
        <f t="shared" si="10"/>
        <v>0</v>
      </c>
      <c r="L69" s="67">
        <f t="shared" si="11"/>
        <v>1</v>
      </c>
    </row>
    <row r="70" spans="1:12" ht="15" customHeight="1" hidden="1" outlineLevel="1">
      <c r="A70" s="15" t="s">
        <v>172</v>
      </c>
      <c r="B70" s="66">
        <v>40000000</v>
      </c>
      <c r="C70" s="70"/>
      <c r="D70" s="65"/>
      <c r="E70" s="65"/>
      <c r="F70" s="65"/>
      <c r="G70" s="66">
        <v>39812656</v>
      </c>
      <c r="H70" s="66">
        <f t="shared" si="15"/>
        <v>39812656</v>
      </c>
      <c r="I70" s="55"/>
      <c r="J70" s="66">
        <f aca="true" t="shared" si="16" ref="J70:J77">+I70+H70</f>
        <v>39812656</v>
      </c>
      <c r="K70" s="66">
        <f t="shared" si="10"/>
        <v>-187344</v>
      </c>
      <c r="L70" s="67">
        <f t="shared" si="11"/>
        <v>0.9953164</v>
      </c>
    </row>
    <row r="71" spans="1:12" ht="15" customHeight="1" hidden="1" outlineLevel="1">
      <c r="A71" s="15" t="s">
        <v>108</v>
      </c>
      <c r="B71" s="66">
        <v>229870000</v>
      </c>
      <c r="C71" s="70"/>
      <c r="D71" s="65"/>
      <c r="E71" s="65"/>
      <c r="F71" s="65"/>
      <c r="G71" s="66">
        <v>229423086</v>
      </c>
      <c r="H71" s="66">
        <f t="shared" si="15"/>
        <v>229423086</v>
      </c>
      <c r="I71" s="55"/>
      <c r="J71" s="66">
        <f>+I71+H71</f>
        <v>229423086</v>
      </c>
      <c r="K71" s="66">
        <f t="shared" si="10"/>
        <v>-446914</v>
      </c>
      <c r="L71" s="67">
        <f t="shared" si="11"/>
        <v>0.9980557967546875</v>
      </c>
    </row>
    <row r="72" spans="1:12" ht="15" hidden="1" outlineLevel="1">
      <c r="A72" s="15" t="s">
        <v>242</v>
      </c>
      <c r="B72" s="66">
        <v>50801651</v>
      </c>
      <c r="C72" s="70"/>
      <c r="D72" s="65"/>
      <c r="E72" s="65"/>
      <c r="F72" s="65"/>
      <c r="G72" s="66">
        <v>44630267</v>
      </c>
      <c r="H72" s="66">
        <f t="shared" si="15"/>
        <v>44630267</v>
      </c>
      <c r="I72" s="55"/>
      <c r="J72" s="66">
        <f t="shared" si="16"/>
        <v>44630267</v>
      </c>
      <c r="K72" s="66">
        <f t="shared" si="10"/>
        <v>-6171384</v>
      </c>
      <c r="L72" s="67">
        <f t="shared" si="11"/>
        <v>0.8785200110917655</v>
      </c>
    </row>
    <row r="73" spans="1:12" ht="15" hidden="1" outlineLevel="1">
      <c r="A73" s="15" t="s">
        <v>127</v>
      </c>
      <c r="B73" s="66">
        <v>70000000</v>
      </c>
      <c r="C73" s="70"/>
      <c r="D73" s="65"/>
      <c r="E73" s="65"/>
      <c r="F73" s="65"/>
      <c r="G73" s="66">
        <v>57581970</v>
      </c>
      <c r="H73" s="66">
        <f aca="true" t="shared" si="17" ref="H73:H82">+C73+D73+E73+F73+G73</f>
        <v>57581970</v>
      </c>
      <c r="I73" s="55"/>
      <c r="J73" s="66">
        <f t="shared" si="16"/>
        <v>57581970</v>
      </c>
      <c r="K73" s="66">
        <f t="shared" si="10"/>
        <v>-12418030</v>
      </c>
      <c r="L73" s="67">
        <f t="shared" si="11"/>
        <v>0.8225995714285714</v>
      </c>
    </row>
    <row r="74" spans="1:12" ht="15" collapsed="1">
      <c r="A74" s="25" t="s">
        <v>173</v>
      </c>
      <c r="B74" s="72">
        <v>283413000</v>
      </c>
      <c r="C74" s="70"/>
      <c r="D74" s="65"/>
      <c r="E74" s="65"/>
      <c r="F74" s="65"/>
      <c r="G74" s="72">
        <f>+G75+G76+G77</f>
        <v>271579158</v>
      </c>
      <c r="H74" s="72">
        <f t="shared" si="17"/>
        <v>271579158</v>
      </c>
      <c r="I74" s="55"/>
      <c r="J74" s="72">
        <f t="shared" si="16"/>
        <v>271579158</v>
      </c>
      <c r="K74" s="72">
        <f t="shared" si="10"/>
        <v>-11833842</v>
      </c>
      <c r="L74" s="73">
        <f t="shared" si="11"/>
        <v>0.958245239279779</v>
      </c>
    </row>
    <row r="75" spans="1:12" ht="15" hidden="1" outlineLevel="1">
      <c r="A75" s="15" t="s">
        <v>174</v>
      </c>
      <c r="B75" s="66">
        <v>105000000</v>
      </c>
      <c r="C75" s="70"/>
      <c r="D75" s="65"/>
      <c r="E75" s="65"/>
      <c r="F75" s="65"/>
      <c r="G75" s="66">
        <v>104995880</v>
      </c>
      <c r="H75" s="66">
        <f t="shared" si="17"/>
        <v>104995880</v>
      </c>
      <c r="I75" s="55"/>
      <c r="J75" s="66">
        <f t="shared" si="16"/>
        <v>104995880</v>
      </c>
      <c r="K75" s="66">
        <f t="shared" si="10"/>
        <v>-4120</v>
      </c>
      <c r="L75" s="67">
        <f t="shared" si="11"/>
        <v>0.9999607619047619</v>
      </c>
    </row>
    <row r="76" spans="1:12" ht="15" hidden="1" outlineLevel="1">
      <c r="A76" s="15" t="s">
        <v>175</v>
      </c>
      <c r="B76" s="66">
        <v>162413000</v>
      </c>
      <c r="C76" s="70"/>
      <c r="D76" s="65"/>
      <c r="E76" s="65"/>
      <c r="F76" s="65"/>
      <c r="G76" s="66">
        <v>150583279</v>
      </c>
      <c r="H76" s="66">
        <f t="shared" si="17"/>
        <v>150583279</v>
      </c>
      <c r="I76" s="55"/>
      <c r="J76" s="66">
        <f t="shared" si="16"/>
        <v>150583279</v>
      </c>
      <c r="K76" s="66">
        <f t="shared" si="10"/>
        <v>-11829721</v>
      </c>
      <c r="L76" s="67">
        <f t="shared" si="11"/>
        <v>0.9271627209644548</v>
      </c>
    </row>
    <row r="77" spans="1:12" ht="15" hidden="1" outlineLevel="1">
      <c r="A77" s="15" t="s">
        <v>107</v>
      </c>
      <c r="B77" s="66">
        <v>16000000</v>
      </c>
      <c r="C77" s="70"/>
      <c r="D77" s="65"/>
      <c r="E77" s="65"/>
      <c r="F77" s="65"/>
      <c r="G77" s="66">
        <v>15999999</v>
      </c>
      <c r="H77" s="66">
        <f t="shared" si="17"/>
        <v>15999999</v>
      </c>
      <c r="I77" s="55"/>
      <c r="J77" s="66">
        <f t="shared" si="16"/>
        <v>15999999</v>
      </c>
      <c r="K77" s="66">
        <f t="shared" si="10"/>
        <v>-1</v>
      </c>
      <c r="L77" s="67">
        <f t="shared" si="11"/>
        <v>0.9999999375</v>
      </c>
    </row>
    <row r="78" spans="1:12" ht="15" collapsed="1">
      <c r="A78" s="74" t="s">
        <v>74</v>
      </c>
      <c r="B78" s="72">
        <v>429279135</v>
      </c>
      <c r="C78" s="70"/>
      <c r="D78" s="65"/>
      <c r="E78" s="65"/>
      <c r="F78" s="65"/>
      <c r="G78" s="72">
        <f>+G79+G81+G82+G80</f>
        <v>407032368</v>
      </c>
      <c r="H78" s="72">
        <f>+H79+H81+H82+H80</f>
        <v>407032368</v>
      </c>
      <c r="I78" s="55"/>
      <c r="J78" s="72">
        <f>+J79+J81+J82+J80</f>
        <v>407032368</v>
      </c>
      <c r="K78" s="72">
        <f t="shared" si="10"/>
        <v>-22246767</v>
      </c>
      <c r="L78" s="73">
        <f t="shared" si="11"/>
        <v>0.9481764539988649</v>
      </c>
    </row>
    <row r="79" spans="1:12" ht="15" hidden="1" outlineLevel="1">
      <c r="A79" s="15" t="s">
        <v>109</v>
      </c>
      <c r="B79" s="66">
        <v>140692448</v>
      </c>
      <c r="C79" s="70"/>
      <c r="D79" s="65"/>
      <c r="E79" s="65"/>
      <c r="F79" s="65"/>
      <c r="G79" s="66">
        <v>130855805</v>
      </c>
      <c r="H79" s="66">
        <f t="shared" si="17"/>
        <v>130855805</v>
      </c>
      <c r="I79" s="55"/>
      <c r="J79" s="66">
        <f aca="true" t="shared" si="18" ref="J79:J85">+I79+H79</f>
        <v>130855805</v>
      </c>
      <c r="K79" s="66">
        <f t="shared" si="10"/>
        <v>-9836643</v>
      </c>
      <c r="L79" s="67">
        <f t="shared" si="11"/>
        <v>0.9300840724585303</v>
      </c>
    </row>
    <row r="80" spans="1:12" ht="15" hidden="1" outlineLevel="1">
      <c r="A80" s="15" t="s">
        <v>204</v>
      </c>
      <c r="B80" s="66">
        <v>222286049</v>
      </c>
      <c r="C80" s="70"/>
      <c r="D80" s="65"/>
      <c r="E80" s="65"/>
      <c r="F80" s="65"/>
      <c r="G80" s="66">
        <v>211171459</v>
      </c>
      <c r="H80" s="66">
        <f t="shared" si="17"/>
        <v>211171459</v>
      </c>
      <c r="I80" s="55"/>
      <c r="J80" s="66">
        <f t="shared" si="18"/>
        <v>211171459</v>
      </c>
      <c r="K80" s="66">
        <f t="shared" si="10"/>
        <v>-11114590</v>
      </c>
      <c r="L80" s="67">
        <f t="shared" si="11"/>
        <v>0.9499987063965494</v>
      </c>
    </row>
    <row r="81" spans="1:12" ht="15" hidden="1" outlineLevel="1">
      <c r="A81" s="15" t="s">
        <v>135</v>
      </c>
      <c r="B81" s="66">
        <v>30000000</v>
      </c>
      <c r="C81" s="70"/>
      <c r="D81" s="65"/>
      <c r="E81" s="65"/>
      <c r="F81" s="65"/>
      <c r="G81" s="66">
        <v>29931982</v>
      </c>
      <c r="H81" s="66">
        <f t="shared" si="17"/>
        <v>29931982</v>
      </c>
      <c r="I81" s="55"/>
      <c r="J81" s="66">
        <f t="shared" si="18"/>
        <v>29931982</v>
      </c>
      <c r="K81" s="66">
        <f t="shared" si="10"/>
        <v>-68018</v>
      </c>
      <c r="L81" s="67">
        <f t="shared" si="11"/>
        <v>0.9977327333333333</v>
      </c>
    </row>
    <row r="82" spans="1:12" ht="15" hidden="1" outlineLevel="1">
      <c r="A82" s="15" t="s">
        <v>136</v>
      </c>
      <c r="B82" s="66">
        <v>36300638</v>
      </c>
      <c r="C82" s="70"/>
      <c r="D82" s="65"/>
      <c r="E82" s="65"/>
      <c r="F82" s="65"/>
      <c r="G82" s="66">
        <v>35073122</v>
      </c>
      <c r="H82" s="66">
        <f t="shared" si="17"/>
        <v>35073122</v>
      </c>
      <c r="I82" s="55"/>
      <c r="J82" s="66">
        <f t="shared" si="18"/>
        <v>35073122</v>
      </c>
      <c r="K82" s="66">
        <f t="shared" si="10"/>
        <v>-1227516</v>
      </c>
      <c r="L82" s="67">
        <f t="shared" si="11"/>
        <v>0.9661847265604533</v>
      </c>
    </row>
    <row r="83" spans="1:12" ht="15" collapsed="1">
      <c r="A83" s="15"/>
      <c r="B83" s="66"/>
      <c r="C83" s="70"/>
      <c r="D83" s="65"/>
      <c r="E83" s="65"/>
      <c r="F83" s="65"/>
      <c r="G83" s="66"/>
      <c r="H83" s="66"/>
      <c r="I83" s="55"/>
      <c r="J83" s="66"/>
      <c r="K83" s="66"/>
      <c r="L83" s="67"/>
    </row>
    <row r="84" spans="1:12" s="60" customFormat="1" ht="43.5" customHeight="1">
      <c r="A84" s="11" t="s">
        <v>110</v>
      </c>
      <c r="B84" s="58">
        <v>6239116042.019754</v>
      </c>
      <c r="C84" s="58"/>
      <c r="D84" s="58">
        <f>+D112</f>
        <v>699664709</v>
      </c>
      <c r="E84" s="58"/>
      <c r="F84" s="58">
        <f>+F85</f>
        <v>5146919215</v>
      </c>
      <c r="G84" s="58"/>
      <c r="H84" s="58">
        <f>SUM(C84:G84)</f>
        <v>5846583924</v>
      </c>
      <c r="I84" s="58"/>
      <c r="J84" s="58">
        <f t="shared" si="18"/>
        <v>5846583924</v>
      </c>
      <c r="K84" s="58">
        <f aca="true" t="shared" si="19" ref="K84:K137">+J84-B84</f>
        <v>-392532118.0197544</v>
      </c>
      <c r="L84" s="59">
        <f aca="true" t="shared" si="20" ref="L84:L137">_xlfn.IFERROR((J84/B84),0)</f>
        <v>0.9370852993635486</v>
      </c>
    </row>
    <row r="85" spans="1:12" ht="15">
      <c r="A85" s="23" t="s">
        <v>157</v>
      </c>
      <c r="B85" s="72">
        <v>5407026420.677355</v>
      </c>
      <c r="C85" s="55"/>
      <c r="D85" s="61"/>
      <c r="E85" s="61"/>
      <c r="F85" s="72">
        <f>+F86+F91+F98+F104+F107</f>
        <v>5146919215</v>
      </c>
      <c r="G85" s="62"/>
      <c r="H85" s="72">
        <f aca="true" t="shared" si="21" ref="H85:H106">+C85+D85+E85+F85+G85</f>
        <v>5146919215</v>
      </c>
      <c r="I85" s="62"/>
      <c r="J85" s="72">
        <f t="shared" si="18"/>
        <v>5146919215</v>
      </c>
      <c r="K85" s="72">
        <f t="shared" si="19"/>
        <v>-260107205.6773548</v>
      </c>
      <c r="L85" s="73">
        <f t="shared" si="20"/>
        <v>0.9518945931755276</v>
      </c>
    </row>
    <row r="86" spans="1:12" ht="15">
      <c r="A86" s="19" t="s">
        <v>34</v>
      </c>
      <c r="B86" s="72">
        <v>2063483764.8169541</v>
      </c>
      <c r="C86" s="62"/>
      <c r="D86" s="65"/>
      <c r="E86" s="65"/>
      <c r="F86" s="72">
        <f>+F87+F88+F89+F90</f>
        <v>1994125228</v>
      </c>
      <c r="G86" s="55"/>
      <c r="H86" s="72">
        <f t="shared" si="21"/>
        <v>1994125228</v>
      </c>
      <c r="I86" s="55"/>
      <c r="J86" s="72">
        <f>+J87+J88+J89+J90</f>
        <v>1994125228</v>
      </c>
      <c r="K86" s="72">
        <f t="shared" si="19"/>
        <v>-69358536.81695414</v>
      </c>
      <c r="L86" s="73">
        <f t="shared" si="20"/>
        <v>0.966387650826462</v>
      </c>
    </row>
    <row r="87" spans="1:12" ht="15" hidden="1" outlineLevel="1">
      <c r="A87" s="20" t="s">
        <v>69</v>
      </c>
      <c r="B87" s="66">
        <v>1098484158</v>
      </c>
      <c r="C87" s="62"/>
      <c r="D87" s="65"/>
      <c r="E87" s="65"/>
      <c r="F87" s="66">
        <v>1098228978</v>
      </c>
      <c r="G87" s="55"/>
      <c r="H87" s="66">
        <f t="shared" si="21"/>
        <v>1098228978</v>
      </c>
      <c r="I87" s="55"/>
      <c r="J87" s="66">
        <f>+I87+H87</f>
        <v>1098228978</v>
      </c>
      <c r="K87" s="66">
        <f t="shared" si="19"/>
        <v>-255180</v>
      </c>
      <c r="L87" s="47">
        <f t="shared" si="20"/>
        <v>0.9997676980608764</v>
      </c>
    </row>
    <row r="88" spans="1:12" ht="15" hidden="1" outlineLevel="1">
      <c r="A88" s="20" t="s">
        <v>31</v>
      </c>
      <c r="B88" s="66">
        <v>48925835</v>
      </c>
      <c r="C88" s="62"/>
      <c r="D88" s="65"/>
      <c r="E88" s="65"/>
      <c r="F88" s="66">
        <v>48493080</v>
      </c>
      <c r="G88" s="55"/>
      <c r="H88" s="66">
        <f t="shared" si="21"/>
        <v>48493080</v>
      </c>
      <c r="I88" s="55"/>
      <c r="J88" s="66">
        <f>+I88+H88</f>
        <v>48493080</v>
      </c>
      <c r="K88" s="66">
        <f t="shared" si="19"/>
        <v>-432755</v>
      </c>
      <c r="L88" s="67">
        <f t="shared" si="20"/>
        <v>0.9911548775815476</v>
      </c>
    </row>
    <row r="89" spans="1:12" ht="15" hidden="1" outlineLevel="1">
      <c r="A89" s="20" t="s">
        <v>33</v>
      </c>
      <c r="B89" s="66">
        <v>820229329.8169541</v>
      </c>
      <c r="C89" s="62"/>
      <c r="D89" s="65"/>
      <c r="E89" s="65"/>
      <c r="F89" s="66">
        <v>751604686</v>
      </c>
      <c r="G89" s="55"/>
      <c r="H89" s="66">
        <f t="shared" si="21"/>
        <v>751604686</v>
      </c>
      <c r="I89" s="55"/>
      <c r="J89" s="66">
        <f>+I89+H89</f>
        <v>751604686</v>
      </c>
      <c r="K89" s="66">
        <f t="shared" si="19"/>
        <v>-68624643.81695414</v>
      </c>
      <c r="L89" s="67">
        <f t="shared" si="20"/>
        <v>0.9163348086659268</v>
      </c>
    </row>
    <row r="90" spans="1:12" ht="15" hidden="1" outlineLevel="1">
      <c r="A90" s="20" t="s">
        <v>68</v>
      </c>
      <c r="B90" s="66">
        <v>95844442</v>
      </c>
      <c r="C90" s="62"/>
      <c r="D90" s="65"/>
      <c r="E90" s="65"/>
      <c r="F90" s="66">
        <v>95798484</v>
      </c>
      <c r="G90" s="55"/>
      <c r="H90" s="66">
        <f t="shared" si="21"/>
        <v>95798484</v>
      </c>
      <c r="I90" s="55"/>
      <c r="J90" s="66">
        <f>+I90+H90</f>
        <v>95798484</v>
      </c>
      <c r="K90" s="66">
        <f t="shared" si="19"/>
        <v>-45958</v>
      </c>
      <c r="L90" s="67">
        <f t="shared" si="20"/>
        <v>0.9995204938435553</v>
      </c>
    </row>
    <row r="91" spans="1:12" ht="15" collapsed="1">
      <c r="A91" s="19" t="s">
        <v>9</v>
      </c>
      <c r="B91" s="72">
        <v>815794000</v>
      </c>
      <c r="C91" s="62"/>
      <c r="D91" s="65"/>
      <c r="E91" s="65"/>
      <c r="F91" s="72">
        <f>+F92+F96</f>
        <v>806978532</v>
      </c>
      <c r="G91" s="55"/>
      <c r="H91" s="72">
        <f t="shared" si="21"/>
        <v>806978532</v>
      </c>
      <c r="I91" s="55"/>
      <c r="J91" s="72">
        <f>+J92+J96</f>
        <v>806978532</v>
      </c>
      <c r="K91" s="72">
        <f t="shared" si="19"/>
        <v>-8815468</v>
      </c>
      <c r="L91" s="73">
        <f t="shared" si="20"/>
        <v>0.9891940024074705</v>
      </c>
    </row>
    <row r="92" spans="1:12" ht="15" hidden="1" outlineLevel="1">
      <c r="A92" s="75" t="s">
        <v>38</v>
      </c>
      <c r="B92" s="72">
        <v>216654000</v>
      </c>
      <c r="C92" s="62"/>
      <c r="D92" s="65"/>
      <c r="E92" s="65"/>
      <c r="F92" s="72">
        <f>+F94+F95+F93</f>
        <v>205062670</v>
      </c>
      <c r="G92" s="55"/>
      <c r="H92" s="72">
        <f t="shared" si="21"/>
        <v>205062670</v>
      </c>
      <c r="I92" s="55"/>
      <c r="J92" s="72">
        <f>+I92+H92</f>
        <v>205062670</v>
      </c>
      <c r="K92" s="72">
        <f t="shared" si="19"/>
        <v>-11591330</v>
      </c>
      <c r="L92" s="73">
        <f t="shared" si="20"/>
        <v>0.9464984260618313</v>
      </c>
    </row>
    <row r="93" spans="1:12" ht="15" hidden="1" outlineLevel="2">
      <c r="A93" s="12" t="s">
        <v>83</v>
      </c>
      <c r="B93" s="66">
        <v>69454000</v>
      </c>
      <c r="C93" s="62"/>
      <c r="D93" s="65"/>
      <c r="E93" s="65"/>
      <c r="F93" s="66">
        <v>69293585</v>
      </c>
      <c r="G93" s="55"/>
      <c r="H93" s="66">
        <f t="shared" si="21"/>
        <v>69293585</v>
      </c>
      <c r="I93" s="76"/>
      <c r="J93" s="66">
        <f>+I93+H93</f>
        <v>69293585</v>
      </c>
      <c r="K93" s="66">
        <f t="shared" si="19"/>
        <v>-160415</v>
      </c>
      <c r="L93" s="67">
        <f t="shared" si="20"/>
        <v>0.9976903418089671</v>
      </c>
    </row>
    <row r="94" spans="1:12" ht="15" hidden="1" outlineLevel="2">
      <c r="A94" s="12" t="s">
        <v>53</v>
      </c>
      <c r="B94" s="66">
        <v>80930000</v>
      </c>
      <c r="C94" s="62"/>
      <c r="D94" s="65"/>
      <c r="E94" s="65"/>
      <c r="F94" s="66">
        <v>73846552</v>
      </c>
      <c r="G94" s="55"/>
      <c r="H94" s="66">
        <f t="shared" si="21"/>
        <v>73846552</v>
      </c>
      <c r="I94" s="55"/>
      <c r="J94" s="66">
        <f>+I94+H94</f>
        <v>73846552</v>
      </c>
      <c r="K94" s="66">
        <f t="shared" si="19"/>
        <v>-7083448</v>
      </c>
      <c r="L94" s="67">
        <f t="shared" si="20"/>
        <v>0.912474385271222</v>
      </c>
    </row>
    <row r="95" spans="1:12" ht="15" hidden="1" outlineLevel="2">
      <c r="A95" s="12" t="s">
        <v>54</v>
      </c>
      <c r="B95" s="66">
        <v>61970000</v>
      </c>
      <c r="C95" s="62"/>
      <c r="D95" s="65"/>
      <c r="E95" s="65"/>
      <c r="F95" s="66">
        <v>61922533</v>
      </c>
      <c r="G95" s="55"/>
      <c r="H95" s="66">
        <f t="shared" si="21"/>
        <v>61922533</v>
      </c>
      <c r="I95" s="55"/>
      <c r="J95" s="66">
        <f>+I95+H95</f>
        <v>61922533</v>
      </c>
      <c r="K95" s="66">
        <f t="shared" si="19"/>
        <v>-47467</v>
      </c>
      <c r="L95" s="47">
        <f t="shared" si="20"/>
        <v>0.9992340325964176</v>
      </c>
    </row>
    <row r="96" spans="1:12" s="64" customFormat="1" ht="15" hidden="1" outlineLevel="1">
      <c r="A96" s="75" t="s">
        <v>37</v>
      </c>
      <c r="B96" s="72">
        <v>599140000</v>
      </c>
      <c r="C96" s="62"/>
      <c r="D96" s="61"/>
      <c r="E96" s="61"/>
      <c r="F96" s="72">
        <f>+F97</f>
        <v>601915862</v>
      </c>
      <c r="G96" s="62"/>
      <c r="H96" s="72">
        <f t="shared" si="21"/>
        <v>601915862</v>
      </c>
      <c r="I96" s="62"/>
      <c r="J96" s="72">
        <f>+J97</f>
        <v>601915862</v>
      </c>
      <c r="K96" s="72">
        <f t="shared" si="19"/>
        <v>2775862</v>
      </c>
      <c r="L96" s="73">
        <f t="shared" si="20"/>
        <v>1.0046330774109558</v>
      </c>
    </row>
    <row r="97" spans="1:12" ht="15" hidden="1" outlineLevel="2">
      <c r="A97" s="20" t="s">
        <v>30</v>
      </c>
      <c r="B97" s="66">
        <v>603440000</v>
      </c>
      <c r="C97" s="62"/>
      <c r="D97" s="65"/>
      <c r="E97" s="65"/>
      <c r="F97" s="66">
        <v>601915862</v>
      </c>
      <c r="G97" s="55"/>
      <c r="H97" s="66">
        <f t="shared" si="21"/>
        <v>601915862</v>
      </c>
      <c r="I97" s="55"/>
      <c r="J97" s="66">
        <f>+I97+H97</f>
        <v>601915862</v>
      </c>
      <c r="K97" s="66">
        <f t="shared" si="19"/>
        <v>-1524138</v>
      </c>
      <c r="L97" s="67">
        <f t="shared" si="20"/>
        <v>0.997474250961156</v>
      </c>
    </row>
    <row r="98" spans="1:12" ht="15" collapsed="1">
      <c r="A98" s="19" t="s">
        <v>146</v>
      </c>
      <c r="B98" s="72">
        <v>233005932</v>
      </c>
      <c r="C98" s="62"/>
      <c r="D98" s="65"/>
      <c r="E98" s="65"/>
      <c r="F98" s="72">
        <f>+SUM(F99:F103)</f>
        <v>210410341</v>
      </c>
      <c r="G98" s="65"/>
      <c r="H98" s="72">
        <f t="shared" si="21"/>
        <v>210410341</v>
      </c>
      <c r="I98" s="55"/>
      <c r="J98" s="72">
        <f aca="true" t="shared" si="22" ref="J98:J103">+H98</f>
        <v>210410341</v>
      </c>
      <c r="K98" s="72">
        <f t="shared" si="19"/>
        <v>-22595591</v>
      </c>
      <c r="L98" s="73">
        <f t="shared" si="20"/>
        <v>0.9030256834834574</v>
      </c>
    </row>
    <row r="99" spans="1:12" ht="15" hidden="1" outlineLevel="1">
      <c r="A99" s="12" t="s">
        <v>151</v>
      </c>
      <c r="B99" s="66">
        <v>46000000</v>
      </c>
      <c r="C99" s="62"/>
      <c r="D99" s="65"/>
      <c r="E99" s="65"/>
      <c r="F99" s="65">
        <v>45750736</v>
      </c>
      <c r="G99" s="65"/>
      <c r="H99" s="66">
        <f t="shared" si="21"/>
        <v>45750736</v>
      </c>
      <c r="I99" s="55"/>
      <c r="J99" s="66">
        <f t="shared" si="22"/>
        <v>45750736</v>
      </c>
      <c r="K99" s="66">
        <f t="shared" si="19"/>
        <v>-249264</v>
      </c>
      <c r="L99" s="67">
        <f t="shared" si="20"/>
        <v>0.9945812173913043</v>
      </c>
    </row>
    <row r="100" spans="1:12" ht="15" hidden="1" outlineLevel="1">
      <c r="A100" s="12" t="s">
        <v>152</v>
      </c>
      <c r="B100" s="66">
        <v>102200000</v>
      </c>
      <c r="C100" s="62"/>
      <c r="D100" s="65"/>
      <c r="E100" s="65"/>
      <c r="F100" s="65">
        <v>81007006</v>
      </c>
      <c r="G100" s="65"/>
      <c r="H100" s="66">
        <f t="shared" si="21"/>
        <v>81007006</v>
      </c>
      <c r="I100" s="55"/>
      <c r="J100" s="66">
        <f t="shared" si="22"/>
        <v>81007006</v>
      </c>
      <c r="K100" s="66">
        <f t="shared" si="19"/>
        <v>-21192994</v>
      </c>
      <c r="L100" s="67">
        <f t="shared" si="20"/>
        <v>0.7926321526418787</v>
      </c>
    </row>
    <row r="101" spans="1:12" ht="15" hidden="1" outlineLevel="1">
      <c r="A101" s="12" t="s">
        <v>84</v>
      </c>
      <c r="B101" s="66">
        <v>30000000</v>
      </c>
      <c r="C101" s="62"/>
      <c r="D101" s="65"/>
      <c r="E101" s="65"/>
      <c r="F101" s="65">
        <v>30000000</v>
      </c>
      <c r="G101" s="65"/>
      <c r="H101" s="66">
        <f t="shared" si="21"/>
        <v>30000000</v>
      </c>
      <c r="I101" s="76"/>
      <c r="J101" s="66">
        <f t="shared" si="22"/>
        <v>30000000</v>
      </c>
      <c r="K101" s="66">
        <f t="shared" si="19"/>
        <v>0</v>
      </c>
      <c r="L101" s="67">
        <f t="shared" si="20"/>
        <v>1</v>
      </c>
    </row>
    <row r="102" spans="1:12" ht="15" hidden="1" outlineLevel="1">
      <c r="A102" s="12" t="s">
        <v>153</v>
      </c>
      <c r="B102" s="66">
        <v>4805932</v>
      </c>
      <c r="C102" s="62"/>
      <c r="D102" s="65"/>
      <c r="E102" s="65"/>
      <c r="F102" s="66">
        <v>3652599</v>
      </c>
      <c r="G102" s="55"/>
      <c r="H102" s="66">
        <f t="shared" si="21"/>
        <v>3652599</v>
      </c>
      <c r="I102" s="76"/>
      <c r="J102" s="66">
        <f t="shared" si="22"/>
        <v>3652599</v>
      </c>
      <c r="K102" s="66">
        <f t="shared" si="19"/>
        <v>-1153333</v>
      </c>
      <c r="L102" s="67">
        <f t="shared" si="20"/>
        <v>0.7600188683485326</v>
      </c>
    </row>
    <row r="103" spans="1:12" ht="15" hidden="1" outlineLevel="1">
      <c r="A103" s="12" t="s">
        <v>181</v>
      </c>
      <c r="B103" s="66">
        <v>50000000</v>
      </c>
      <c r="C103" s="62"/>
      <c r="D103" s="65"/>
      <c r="E103" s="65"/>
      <c r="F103" s="66">
        <v>50000000</v>
      </c>
      <c r="G103" s="55"/>
      <c r="H103" s="66">
        <f t="shared" si="21"/>
        <v>50000000</v>
      </c>
      <c r="I103" s="76"/>
      <c r="J103" s="66">
        <f t="shared" si="22"/>
        <v>50000000</v>
      </c>
      <c r="K103" s="66">
        <f t="shared" si="19"/>
        <v>0</v>
      </c>
      <c r="L103" s="67">
        <f t="shared" si="20"/>
        <v>1</v>
      </c>
    </row>
    <row r="104" spans="1:12" ht="15" collapsed="1">
      <c r="A104" s="19" t="s">
        <v>7</v>
      </c>
      <c r="B104" s="72">
        <v>819882000</v>
      </c>
      <c r="C104" s="55"/>
      <c r="D104" s="65"/>
      <c r="E104" s="65"/>
      <c r="F104" s="72">
        <f>+F105+F106</f>
        <v>731873273</v>
      </c>
      <c r="G104" s="55"/>
      <c r="H104" s="72">
        <f t="shared" si="21"/>
        <v>731873273</v>
      </c>
      <c r="I104" s="62"/>
      <c r="J104" s="72">
        <f>+I104+H104</f>
        <v>731873273</v>
      </c>
      <c r="K104" s="72">
        <f t="shared" si="19"/>
        <v>-88008727</v>
      </c>
      <c r="L104" s="73">
        <f t="shared" si="20"/>
        <v>0.8926568372034024</v>
      </c>
    </row>
    <row r="105" spans="1:12" ht="15" hidden="1" outlineLevel="1">
      <c r="A105" s="20" t="s">
        <v>35</v>
      </c>
      <c r="B105" s="66">
        <v>120159000</v>
      </c>
      <c r="C105" s="55"/>
      <c r="D105" s="65"/>
      <c r="E105" s="65"/>
      <c r="F105" s="66">
        <v>117597752</v>
      </c>
      <c r="G105" s="55"/>
      <c r="H105" s="66">
        <f t="shared" si="21"/>
        <v>117597752</v>
      </c>
      <c r="I105" s="62"/>
      <c r="J105" s="66">
        <f>+I105+H105</f>
        <v>117597752</v>
      </c>
      <c r="K105" s="66">
        <f t="shared" si="19"/>
        <v>-2561248</v>
      </c>
      <c r="L105" s="67">
        <f t="shared" si="20"/>
        <v>0.9786845096913257</v>
      </c>
    </row>
    <row r="106" spans="1:12" ht="15" hidden="1" outlineLevel="1">
      <c r="A106" s="14" t="s">
        <v>154</v>
      </c>
      <c r="B106" s="66">
        <v>699723000</v>
      </c>
      <c r="C106" s="55"/>
      <c r="D106" s="65"/>
      <c r="E106" s="65"/>
      <c r="F106" s="66">
        <v>614275521</v>
      </c>
      <c r="G106" s="55"/>
      <c r="H106" s="66">
        <f t="shared" si="21"/>
        <v>614275521</v>
      </c>
      <c r="I106" s="62"/>
      <c r="J106" s="66">
        <f>+I106+H106</f>
        <v>614275521</v>
      </c>
      <c r="K106" s="66">
        <f t="shared" si="19"/>
        <v>-85447479</v>
      </c>
      <c r="L106" s="67">
        <f t="shared" si="20"/>
        <v>0.8778838497519733</v>
      </c>
    </row>
    <row r="107" spans="1:12" ht="15" collapsed="1">
      <c r="A107" s="19" t="s">
        <v>55</v>
      </c>
      <c r="B107" s="72">
        <v>1474860723.8604002</v>
      </c>
      <c r="C107" s="55"/>
      <c r="D107" s="65"/>
      <c r="E107" s="65"/>
      <c r="F107" s="72">
        <f>+F108+F109+F110+F111</f>
        <v>1403531841</v>
      </c>
      <c r="G107" s="55"/>
      <c r="H107" s="72">
        <f>+G107+F107+D107+C107</f>
        <v>1403531841</v>
      </c>
      <c r="I107" s="77"/>
      <c r="J107" s="72">
        <f>+H107+I107</f>
        <v>1403531841</v>
      </c>
      <c r="K107" s="72">
        <f t="shared" si="19"/>
        <v>-71328882.8604002</v>
      </c>
      <c r="L107" s="73">
        <f t="shared" si="20"/>
        <v>0.9516368686843194</v>
      </c>
    </row>
    <row r="108" spans="1:12" ht="15" hidden="1" outlineLevel="1">
      <c r="A108" s="12" t="s">
        <v>72</v>
      </c>
      <c r="B108" s="66">
        <v>1380088675.0764</v>
      </c>
      <c r="C108" s="55"/>
      <c r="D108" s="65"/>
      <c r="E108" s="65"/>
      <c r="F108" s="66">
        <v>1312687288</v>
      </c>
      <c r="G108" s="55"/>
      <c r="H108" s="66">
        <f aca="true" t="shared" si="23" ref="H108:H130">+C108+D108+E108+F108+G108</f>
        <v>1312687288</v>
      </c>
      <c r="I108" s="62"/>
      <c r="J108" s="66">
        <f>+H108+I108</f>
        <v>1312687288</v>
      </c>
      <c r="K108" s="66">
        <f t="shared" si="19"/>
        <v>-67401387.07640004</v>
      </c>
      <c r="L108" s="67">
        <f t="shared" si="20"/>
        <v>0.9511615533888294</v>
      </c>
    </row>
    <row r="109" spans="1:12" ht="14.25" hidden="1" outlineLevel="1">
      <c r="A109" s="12" t="s">
        <v>85</v>
      </c>
      <c r="B109" s="66">
        <v>40846122.383999996</v>
      </c>
      <c r="C109" s="55"/>
      <c r="D109" s="65"/>
      <c r="E109" s="65"/>
      <c r="F109" s="66">
        <v>39808345</v>
      </c>
      <c r="G109" s="55"/>
      <c r="H109" s="66">
        <f t="shared" si="23"/>
        <v>39808345</v>
      </c>
      <c r="I109" s="55"/>
      <c r="J109" s="66">
        <f>+H109+I109</f>
        <v>39808345</v>
      </c>
      <c r="K109" s="66">
        <f t="shared" si="19"/>
        <v>-1037777.3839999959</v>
      </c>
      <c r="L109" s="47">
        <f t="shared" si="20"/>
        <v>0.9745930011607048</v>
      </c>
    </row>
    <row r="110" spans="1:12" ht="14.25" hidden="1" outlineLevel="1">
      <c r="A110" s="12" t="s">
        <v>65</v>
      </c>
      <c r="B110" s="66">
        <v>42140926.4</v>
      </c>
      <c r="C110" s="55"/>
      <c r="D110" s="65"/>
      <c r="E110" s="65"/>
      <c r="F110" s="66">
        <v>41569800</v>
      </c>
      <c r="G110" s="55"/>
      <c r="H110" s="66">
        <f t="shared" si="23"/>
        <v>41569800</v>
      </c>
      <c r="I110" s="55"/>
      <c r="J110" s="66">
        <f>+H110+I110</f>
        <v>41569800</v>
      </c>
      <c r="K110" s="66">
        <f t="shared" si="19"/>
        <v>-571126.3999999985</v>
      </c>
      <c r="L110" s="67">
        <f t="shared" si="20"/>
        <v>0.9864472272256455</v>
      </c>
    </row>
    <row r="111" spans="1:12" s="64" customFormat="1" ht="14.25" hidden="1" outlineLevel="1">
      <c r="A111" s="12" t="s">
        <v>86</v>
      </c>
      <c r="B111" s="66">
        <v>11785000</v>
      </c>
      <c r="C111" s="55"/>
      <c r="D111" s="65"/>
      <c r="E111" s="65"/>
      <c r="F111" s="66">
        <v>9466408</v>
      </c>
      <c r="G111" s="55"/>
      <c r="H111" s="66">
        <f t="shared" si="23"/>
        <v>9466408</v>
      </c>
      <c r="I111" s="55"/>
      <c r="J111" s="66">
        <f>+H111+I111</f>
        <v>9466408</v>
      </c>
      <c r="K111" s="66">
        <f t="shared" si="19"/>
        <v>-2318592</v>
      </c>
      <c r="L111" s="67">
        <f t="shared" si="20"/>
        <v>0.8032590581247349</v>
      </c>
    </row>
    <row r="112" spans="1:12" s="64" customFormat="1" ht="15" collapsed="1">
      <c r="A112" s="23" t="s">
        <v>158</v>
      </c>
      <c r="B112" s="72">
        <v>832089621.3424001</v>
      </c>
      <c r="C112" s="55"/>
      <c r="D112" s="72">
        <f>+D113+D115+D125+D128+D131+D137</f>
        <v>699664709</v>
      </c>
      <c r="E112" s="72"/>
      <c r="F112" s="66"/>
      <c r="G112" s="55"/>
      <c r="H112" s="72">
        <f t="shared" si="23"/>
        <v>699664709</v>
      </c>
      <c r="I112" s="55"/>
      <c r="J112" s="72">
        <f aca="true" t="shared" si="24" ref="J112:J137">+I112+H112</f>
        <v>699664709</v>
      </c>
      <c r="K112" s="72">
        <f t="shared" si="19"/>
        <v>-132424912.34240007</v>
      </c>
      <c r="L112" s="73">
        <f t="shared" si="20"/>
        <v>0.840852584930983</v>
      </c>
    </row>
    <row r="113" spans="1:12" s="64" customFormat="1" ht="15">
      <c r="A113" s="115" t="s">
        <v>147</v>
      </c>
      <c r="B113" s="72">
        <v>21800000</v>
      </c>
      <c r="C113" s="65"/>
      <c r="D113" s="72">
        <f>SUM(D114:D114)</f>
        <v>21789942</v>
      </c>
      <c r="E113" s="65"/>
      <c r="F113" s="55"/>
      <c r="G113" s="55"/>
      <c r="H113" s="72">
        <f t="shared" si="23"/>
        <v>21789942</v>
      </c>
      <c r="I113" s="77"/>
      <c r="J113" s="72">
        <f t="shared" si="24"/>
        <v>21789942</v>
      </c>
      <c r="K113" s="72">
        <f t="shared" si="19"/>
        <v>-10058</v>
      </c>
      <c r="L113" s="73">
        <f t="shared" si="20"/>
        <v>0.999538623853211</v>
      </c>
    </row>
    <row r="114" spans="1:12" s="64" customFormat="1" ht="15" hidden="1" outlineLevel="1">
      <c r="A114" s="116" t="s">
        <v>206</v>
      </c>
      <c r="B114" s="66">
        <v>21800000</v>
      </c>
      <c r="C114" s="65"/>
      <c r="D114" s="66">
        <v>21789942</v>
      </c>
      <c r="E114" s="65"/>
      <c r="F114" s="55"/>
      <c r="G114" s="55"/>
      <c r="H114" s="66">
        <f t="shared" si="23"/>
        <v>21789942</v>
      </c>
      <c r="I114" s="77"/>
      <c r="J114" s="66">
        <f>+I114+H114</f>
        <v>21789942</v>
      </c>
      <c r="K114" s="66">
        <f t="shared" si="19"/>
        <v>-10058</v>
      </c>
      <c r="L114" s="67">
        <f t="shared" si="20"/>
        <v>0.999538623853211</v>
      </c>
    </row>
    <row r="115" spans="1:12" s="64" customFormat="1" ht="15" collapsed="1">
      <c r="A115" s="115" t="s">
        <v>123</v>
      </c>
      <c r="B115" s="72">
        <v>502071925.6</v>
      </c>
      <c r="C115" s="65"/>
      <c r="D115" s="72">
        <f>SUM(D116:D124)</f>
        <v>461349770</v>
      </c>
      <c r="E115" s="65"/>
      <c r="F115" s="55"/>
      <c r="G115" s="55"/>
      <c r="H115" s="72">
        <f t="shared" si="23"/>
        <v>461349770</v>
      </c>
      <c r="I115" s="77"/>
      <c r="J115" s="72">
        <f>+I115+H115</f>
        <v>461349770</v>
      </c>
      <c r="K115" s="72">
        <f t="shared" si="19"/>
        <v>-40722155.600000024</v>
      </c>
      <c r="L115" s="73">
        <f t="shared" si="20"/>
        <v>0.9188917891568322</v>
      </c>
    </row>
    <row r="116" spans="1:12" s="5" customFormat="1" ht="14.25" hidden="1" outlineLevel="1">
      <c r="A116" s="116" t="s">
        <v>207</v>
      </c>
      <c r="B116" s="66">
        <v>51090925.599999994</v>
      </c>
      <c r="C116" s="65"/>
      <c r="D116" s="66">
        <v>51090925</v>
      </c>
      <c r="E116" s="65"/>
      <c r="F116" s="55"/>
      <c r="G116" s="55"/>
      <c r="H116" s="66">
        <f t="shared" si="23"/>
        <v>51090925</v>
      </c>
      <c r="I116" s="76"/>
      <c r="J116" s="66">
        <f t="shared" si="24"/>
        <v>51090925</v>
      </c>
      <c r="K116" s="66">
        <f t="shared" si="19"/>
        <v>-0.5999999940395355</v>
      </c>
      <c r="L116" s="67">
        <f t="shared" si="20"/>
        <v>0.9999999882562317</v>
      </c>
    </row>
    <row r="117" spans="1:12" s="5" customFormat="1" ht="14.25" hidden="1" outlineLevel="1">
      <c r="A117" s="116" t="s">
        <v>222</v>
      </c>
      <c r="B117" s="66">
        <v>66500000</v>
      </c>
      <c r="C117" s="65"/>
      <c r="D117" s="66">
        <v>64937484</v>
      </c>
      <c r="E117" s="65"/>
      <c r="F117" s="55"/>
      <c r="G117" s="55"/>
      <c r="H117" s="66">
        <f t="shared" si="23"/>
        <v>64937484</v>
      </c>
      <c r="I117" s="76"/>
      <c r="J117" s="66">
        <f t="shared" si="24"/>
        <v>64937484</v>
      </c>
      <c r="K117" s="66">
        <f t="shared" si="19"/>
        <v>-1562516</v>
      </c>
      <c r="L117" s="67">
        <f t="shared" si="20"/>
        <v>0.9765035187969925</v>
      </c>
    </row>
    <row r="118" spans="1:12" s="5" customFormat="1" ht="14.25" hidden="1" outlineLevel="1">
      <c r="A118" s="116" t="s">
        <v>208</v>
      </c>
      <c r="B118" s="66">
        <v>36000000</v>
      </c>
      <c r="C118" s="65"/>
      <c r="D118" s="66">
        <v>17389903</v>
      </c>
      <c r="E118" s="65"/>
      <c r="F118" s="55"/>
      <c r="G118" s="55"/>
      <c r="H118" s="66">
        <f t="shared" si="23"/>
        <v>17389903</v>
      </c>
      <c r="I118" s="76"/>
      <c r="J118" s="66">
        <f t="shared" si="24"/>
        <v>17389903</v>
      </c>
      <c r="K118" s="66">
        <f t="shared" si="19"/>
        <v>-18610097</v>
      </c>
      <c r="L118" s="67">
        <f t="shared" si="20"/>
        <v>0.4830528611111111</v>
      </c>
    </row>
    <row r="119" spans="1:12" s="5" customFormat="1" ht="14.25" hidden="1" outlineLevel="1">
      <c r="A119" s="116" t="s">
        <v>209</v>
      </c>
      <c r="B119" s="66">
        <v>35000000</v>
      </c>
      <c r="C119" s="65"/>
      <c r="D119" s="66">
        <v>29089500</v>
      </c>
      <c r="E119" s="65"/>
      <c r="F119" s="55"/>
      <c r="G119" s="55"/>
      <c r="H119" s="66">
        <f t="shared" si="23"/>
        <v>29089500</v>
      </c>
      <c r="I119" s="76"/>
      <c r="J119" s="66">
        <f t="shared" si="24"/>
        <v>29089500</v>
      </c>
      <c r="K119" s="66">
        <f t="shared" si="19"/>
        <v>-5910500</v>
      </c>
      <c r="L119" s="67">
        <f t="shared" si="20"/>
        <v>0.8311285714285714</v>
      </c>
    </row>
    <row r="120" spans="1:12" s="5" customFormat="1" ht="14.25" hidden="1" outlineLevel="1">
      <c r="A120" s="116" t="s">
        <v>210</v>
      </c>
      <c r="B120" s="66">
        <v>41600000</v>
      </c>
      <c r="C120" s="65"/>
      <c r="D120" s="66">
        <v>35477706</v>
      </c>
      <c r="E120" s="65"/>
      <c r="F120" s="55"/>
      <c r="G120" s="55"/>
      <c r="H120" s="66">
        <f t="shared" si="23"/>
        <v>35477706</v>
      </c>
      <c r="I120" s="76"/>
      <c r="J120" s="66">
        <f t="shared" si="24"/>
        <v>35477706</v>
      </c>
      <c r="K120" s="66">
        <f t="shared" si="19"/>
        <v>-6122294</v>
      </c>
      <c r="L120" s="67">
        <f t="shared" si="20"/>
        <v>0.8528294711538461</v>
      </c>
    </row>
    <row r="121" spans="1:12" s="5" customFormat="1" ht="14.25" hidden="1" outlineLevel="1">
      <c r="A121" s="116" t="s">
        <v>211</v>
      </c>
      <c r="B121" s="66">
        <v>35000000</v>
      </c>
      <c r="C121" s="65"/>
      <c r="D121" s="66">
        <v>27025475</v>
      </c>
      <c r="E121" s="65"/>
      <c r="F121" s="55"/>
      <c r="G121" s="55"/>
      <c r="H121" s="66">
        <f t="shared" si="23"/>
        <v>27025475</v>
      </c>
      <c r="I121" s="76"/>
      <c r="J121" s="66">
        <f t="shared" si="24"/>
        <v>27025475</v>
      </c>
      <c r="K121" s="66">
        <f t="shared" si="19"/>
        <v>-7974525</v>
      </c>
      <c r="L121" s="67">
        <f t="shared" si="20"/>
        <v>0.7721564285714285</v>
      </c>
    </row>
    <row r="122" spans="1:12" s="5" customFormat="1" ht="14.25" hidden="1" outlineLevel="1">
      <c r="A122" s="116" t="s">
        <v>212</v>
      </c>
      <c r="B122" s="66">
        <v>45400000</v>
      </c>
      <c r="C122" s="65"/>
      <c r="D122" s="66">
        <v>45398150</v>
      </c>
      <c r="E122" s="65"/>
      <c r="F122" s="55"/>
      <c r="G122" s="55"/>
      <c r="H122" s="66">
        <f t="shared" si="23"/>
        <v>45398150</v>
      </c>
      <c r="I122" s="76"/>
      <c r="J122" s="66">
        <f t="shared" si="24"/>
        <v>45398150</v>
      </c>
      <c r="K122" s="66">
        <f t="shared" si="19"/>
        <v>-1850</v>
      </c>
      <c r="L122" s="67">
        <f t="shared" si="20"/>
        <v>0.9999592511013216</v>
      </c>
    </row>
    <row r="123" spans="1:12" s="5" customFormat="1" ht="14.25" hidden="1" outlineLevel="1">
      <c r="A123" s="116" t="s">
        <v>223</v>
      </c>
      <c r="B123" s="66">
        <v>150981000</v>
      </c>
      <c r="C123" s="65"/>
      <c r="D123" s="66">
        <v>150680114</v>
      </c>
      <c r="E123" s="65"/>
      <c r="F123" s="55"/>
      <c r="G123" s="55"/>
      <c r="H123" s="66">
        <f t="shared" si="23"/>
        <v>150680114</v>
      </c>
      <c r="I123" s="76"/>
      <c r="J123" s="66">
        <f t="shared" si="24"/>
        <v>150680114</v>
      </c>
      <c r="K123" s="66">
        <f t="shared" si="19"/>
        <v>-300886</v>
      </c>
      <c r="L123" s="47">
        <f t="shared" si="20"/>
        <v>0.9980071267245547</v>
      </c>
    </row>
    <row r="124" spans="1:12" s="5" customFormat="1" ht="14.25" hidden="1" outlineLevel="1">
      <c r="A124" s="116" t="s">
        <v>224</v>
      </c>
      <c r="B124" s="66">
        <v>40500000</v>
      </c>
      <c r="C124" s="65"/>
      <c r="D124" s="66">
        <v>40260513</v>
      </c>
      <c r="E124" s="65"/>
      <c r="F124" s="55"/>
      <c r="G124" s="55"/>
      <c r="H124" s="66">
        <f t="shared" si="23"/>
        <v>40260513</v>
      </c>
      <c r="I124" s="76"/>
      <c r="J124" s="66">
        <f t="shared" si="24"/>
        <v>40260513</v>
      </c>
      <c r="K124" s="66">
        <f t="shared" si="19"/>
        <v>-239487</v>
      </c>
      <c r="L124" s="67">
        <f t="shared" si="20"/>
        <v>0.9940867407407408</v>
      </c>
    </row>
    <row r="125" spans="1:12" s="64" customFormat="1" ht="15" collapsed="1">
      <c r="A125" s="46" t="s">
        <v>124</v>
      </c>
      <c r="B125" s="72">
        <v>75962240</v>
      </c>
      <c r="C125" s="65"/>
      <c r="D125" s="72">
        <f>SUM(D126:D127)</f>
        <v>51277252</v>
      </c>
      <c r="E125" s="65"/>
      <c r="F125" s="55"/>
      <c r="G125" s="55"/>
      <c r="H125" s="72">
        <f t="shared" si="23"/>
        <v>51277252</v>
      </c>
      <c r="I125" s="77"/>
      <c r="J125" s="72">
        <f t="shared" si="24"/>
        <v>51277252</v>
      </c>
      <c r="K125" s="72">
        <f t="shared" si="19"/>
        <v>-24684988</v>
      </c>
      <c r="L125" s="73">
        <f t="shared" si="20"/>
        <v>0.6750360705529485</v>
      </c>
    </row>
    <row r="126" spans="1:12" s="5" customFormat="1" ht="14.25" hidden="1" outlineLevel="1">
      <c r="A126" s="116" t="s">
        <v>213</v>
      </c>
      <c r="B126" s="66">
        <v>32762240</v>
      </c>
      <c r="C126" s="65"/>
      <c r="D126" s="66">
        <v>11084715</v>
      </c>
      <c r="E126" s="65"/>
      <c r="F126" s="55"/>
      <c r="G126" s="55"/>
      <c r="H126" s="66">
        <f t="shared" si="23"/>
        <v>11084715</v>
      </c>
      <c r="I126" s="76"/>
      <c r="J126" s="66">
        <f t="shared" si="24"/>
        <v>11084715</v>
      </c>
      <c r="K126" s="66">
        <f t="shared" si="19"/>
        <v>-21677525</v>
      </c>
      <c r="L126" s="67">
        <f t="shared" si="20"/>
        <v>0.33833812950518644</v>
      </c>
    </row>
    <row r="127" spans="1:12" s="5" customFormat="1" ht="14.25" hidden="1" outlineLevel="1">
      <c r="A127" s="116" t="s">
        <v>214</v>
      </c>
      <c r="B127" s="66">
        <v>43200000</v>
      </c>
      <c r="C127" s="65"/>
      <c r="D127" s="66">
        <v>40192537</v>
      </c>
      <c r="E127" s="65"/>
      <c r="F127" s="55"/>
      <c r="G127" s="55"/>
      <c r="H127" s="66">
        <f t="shared" si="23"/>
        <v>40192537</v>
      </c>
      <c r="I127" s="76"/>
      <c r="J127" s="66">
        <f t="shared" si="24"/>
        <v>40192537</v>
      </c>
      <c r="K127" s="66">
        <f t="shared" si="19"/>
        <v>-3007463</v>
      </c>
      <c r="L127" s="67">
        <f t="shared" si="20"/>
        <v>0.930382800925926</v>
      </c>
    </row>
    <row r="128" spans="1:12" s="64" customFormat="1" ht="15" collapsed="1">
      <c r="A128" s="46" t="s">
        <v>243</v>
      </c>
      <c r="B128" s="72">
        <v>-0.3999999985098839</v>
      </c>
      <c r="C128" s="65"/>
      <c r="D128" s="72">
        <f>SUM(D129:D130)</f>
        <v>0</v>
      </c>
      <c r="E128" s="65"/>
      <c r="F128" s="55"/>
      <c r="G128" s="55"/>
      <c r="H128" s="72">
        <f t="shared" si="23"/>
        <v>0</v>
      </c>
      <c r="I128" s="77"/>
      <c r="J128" s="72">
        <f t="shared" si="24"/>
        <v>0</v>
      </c>
      <c r="K128" s="72">
        <f t="shared" si="19"/>
        <v>0.3999999985098839</v>
      </c>
      <c r="L128" s="73">
        <f t="shared" si="20"/>
        <v>0</v>
      </c>
    </row>
    <row r="129" spans="1:12" s="5" customFormat="1" ht="14.25" hidden="1" outlineLevel="1">
      <c r="A129" s="116" t="s">
        <v>215</v>
      </c>
      <c r="B129" s="66">
        <v>-0.3999999985098839</v>
      </c>
      <c r="C129" s="65"/>
      <c r="D129" s="66"/>
      <c r="E129" s="65"/>
      <c r="F129" s="55"/>
      <c r="G129" s="55"/>
      <c r="H129" s="66">
        <f t="shared" si="23"/>
        <v>0</v>
      </c>
      <c r="I129" s="76"/>
      <c r="J129" s="66">
        <f t="shared" si="24"/>
        <v>0</v>
      </c>
      <c r="K129" s="66">
        <f t="shared" si="19"/>
        <v>0.3999999985098839</v>
      </c>
      <c r="L129" s="67">
        <f t="shared" si="20"/>
        <v>0</v>
      </c>
    </row>
    <row r="130" spans="1:12" s="5" customFormat="1" ht="14.25" hidden="1" outlineLevel="1">
      <c r="A130" s="116" t="s">
        <v>216</v>
      </c>
      <c r="B130" s="66">
        <v>0</v>
      </c>
      <c r="C130" s="65"/>
      <c r="D130" s="66"/>
      <c r="E130" s="65"/>
      <c r="F130" s="55"/>
      <c r="G130" s="55"/>
      <c r="H130" s="66">
        <f t="shared" si="23"/>
        <v>0</v>
      </c>
      <c r="I130" s="76"/>
      <c r="J130" s="66">
        <f t="shared" si="24"/>
        <v>0</v>
      </c>
      <c r="K130" s="66">
        <f t="shared" si="19"/>
        <v>0</v>
      </c>
      <c r="L130" s="67">
        <f t="shared" si="20"/>
        <v>0</v>
      </c>
    </row>
    <row r="131" spans="1:12" s="64" customFormat="1" ht="15" collapsed="1">
      <c r="A131" s="46" t="s">
        <v>125</v>
      </c>
      <c r="B131" s="72">
        <v>208405456.1424</v>
      </c>
      <c r="C131" s="65"/>
      <c r="D131" s="72">
        <f>SUM(D132:D136)</f>
        <v>141834043</v>
      </c>
      <c r="E131" s="65"/>
      <c r="F131" s="55"/>
      <c r="G131" s="55"/>
      <c r="H131" s="72">
        <f>+C131+D131+E131+F131+G131</f>
        <v>141834043</v>
      </c>
      <c r="I131" s="77"/>
      <c r="J131" s="72">
        <f t="shared" si="24"/>
        <v>141834043</v>
      </c>
      <c r="K131" s="72">
        <f t="shared" si="19"/>
        <v>-66571413.1424</v>
      </c>
      <c r="L131" s="73">
        <f t="shared" si="20"/>
        <v>0.6805678009844769</v>
      </c>
    </row>
    <row r="132" spans="1:12" s="5" customFormat="1" ht="14.25" hidden="1" outlineLevel="1">
      <c r="A132" s="116" t="s">
        <v>217</v>
      </c>
      <c r="B132" s="66">
        <v>65617810.2624</v>
      </c>
      <c r="C132" s="65"/>
      <c r="D132" s="66">
        <v>50561046</v>
      </c>
      <c r="E132" s="65"/>
      <c r="F132" s="55"/>
      <c r="G132" s="55"/>
      <c r="H132" s="66">
        <v>50561046</v>
      </c>
      <c r="I132" s="76"/>
      <c r="J132" s="66">
        <f t="shared" si="24"/>
        <v>50561046</v>
      </c>
      <c r="K132" s="66">
        <f t="shared" si="19"/>
        <v>-15056764.262400001</v>
      </c>
      <c r="L132" s="67">
        <f t="shared" si="20"/>
        <v>0.7705384528653229</v>
      </c>
    </row>
    <row r="133" spans="1:12" s="5" customFormat="1" ht="14.25" hidden="1" outlineLevel="1">
      <c r="A133" s="116" t="s">
        <v>218</v>
      </c>
      <c r="B133" s="66">
        <v>30950000</v>
      </c>
      <c r="C133" s="65"/>
      <c r="D133" s="66">
        <v>30810760</v>
      </c>
      <c r="E133" s="65"/>
      <c r="F133" s="55"/>
      <c r="G133" s="55"/>
      <c r="H133" s="66">
        <v>30810760</v>
      </c>
      <c r="I133" s="76"/>
      <c r="J133" s="66">
        <f>+I133+H133</f>
        <v>30810760</v>
      </c>
      <c r="K133" s="66">
        <f t="shared" si="19"/>
        <v>-139240</v>
      </c>
      <c r="L133" s="67">
        <f t="shared" si="20"/>
        <v>0.9955011308562197</v>
      </c>
    </row>
    <row r="134" spans="1:12" s="5" customFormat="1" ht="14.25" hidden="1" outlineLevel="1">
      <c r="A134" s="116" t="s">
        <v>219</v>
      </c>
      <c r="B134" s="66">
        <v>67337645.88</v>
      </c>
      <c r="C134" s="65"/>
      <c r="D134" s="66">
        <v>46545399</v>
      </c>
      <c r="E134" s="65"/>
      <c r="F134" s="55"/>
      <c r="G134" s="55"/>
      <c r="H134" s="66">
        <v>46545399</v>
      </c>
      <c r="I134" s="76"/>
      <c r="J134" s="66">
        <f>+I134+H134</f>
        <v>46545399</v>
      </c>
      <c r="K134" s="66">
        <f t="shared" si="19"/>
        <v>-20792246.879999995</v>
      </c>
      <c r="L134" s="67">
        <f t="shared" si="20"/>
        <v>0.6912240306551092</v>
      </c>
    </row>
    <row r="135" spans="1:12" s="5" customFormat="1" ht="14.25" hidden="1" outlineLevel="1">
      <c r="A135" s="116" t="s">
        <v>220</v>
      </c>
      <c r="B135" s="66">
        <v>24500000</v>
      </c>
      <c r="C135" s="65"/>
      <c r="D135" s="66">
        <v>9619438</v>
      </c>
      <c r="E135" s="65"/>
      <c r="F135" s="55"/>
      <c r="G135" s="55"/>
      <c r="H135" s="66">
        <v>9619438</v>
      </c>
      <c r="I135" s="76"/>
      <c r="J135" s="66">
        <f t="shared" si="24"/>
        <v>9619438</v>
      </c>
      <c r="K135" s="66">
        <f t="shared" si="19"/>
        <v>-14880562</v>
      </c>
      <c r="L135" s="67">
        <f t="shared" si="20"/>
        <v>0.3926301224489796</v>
      </c>
    </row>
    <row r="136" spans="1:12" s="5" customFormat="1" ht="14.25" hidden="1" outlineLevel="1">
      <c r="A136" s="116" t="s">
        <v>221</v>
      </c>
      <c r="B136" s="66">
        <v>20000000</v>
      </c>
      <c r="C136" s="65"/>
      <c r="D136" s="66">
        <v>4297400</v>
      </c>
      <c r="E136" s="65"/>
      <c r="F136" s="55"/>
      <c r="G136" s="55"/>
      <c r="H136" s="66">
        <v>4297400</v>
      </c>
      <c r="I136" s="76"/>
      <c r="J136" s="66">
        <f t="shared" si="24"/>
        <v>4297400</v>
      </c>
      <c r="K136" s="66">
        <f t="shared" si="19"/>
        <v>-15702600</v>
      </c>
      <c r="L136" s="67">
        <f t="shared" si="20"/>
        <v>0.21487</v>
      </c>
    </row>
    <row r="137" spans="1:12" s="5" customFormat="1" ht="15" collapsed="1">
      <c r="A137" s="46" t="s">
        <v>226</v>
      </c>
      <c r="B137" s="72">
        <v>23850000</v>
      </c>
      <c r="C137" s="65"/>
      <c r="D137" s="72">
        <v>23413702</v>
      </c>
      <c r="E137" s="65"/>
      <c r="F137" s="55"/>
      <c r="G137" s="55"/>
      <c r="H137" s="72">
        <v>23413702</v>
      </c>
      <c r="I137" s="77"/>
      <c r="J137" s="72">
        <f t="shared" si="24"/>
        <v>23413702</v>
      </c>
      <c r="K137" s="72">
        <f t="shared" si="19"/>
        <v>-436298</v>
      </c>
      <c r="L137" s="73">
        <f t="shared" si="20"/>
        <v>0.9817065828092243</v>
      </c>
    </row>
    <row r="138" spans="1:12" s="64" customFormat="1" ht="17.25" customHeight="1">
      <c r="A138" s="20"/>
      <c r="B138" s="66"/>
      <c r="C138" s="65"/>
      <c r="D138" s="65"/>
      <c r="E138" s="65"/>
      <c r="F138" s="55"/>
      <c r="G138" s="55"/>
      <c r="H138" s="66"/>
      <c r="I138" s="55"/>
      <c r="J138" s="66"/>
      <c r="K138" s="66"/>
      <c r="L138" s="67"/>
    </row>
    <row r="139" spans="1:12" s="60" customFormat="1" ht="30">
      <c r="A139" s="11" t="s">
        <v>111</v>
      </c>
      <c r="B139" s="58">
        <v>1159521583.1560001</v>
      </c>
      <c r="C139" s="58">
        <f>+C140</f>
        <v>847536919</v>
      </c>
      <c r="D139" s="58"/>
      <c r="E139" s="58"/>
      <c r="F139" s="58"/>
      <c r="G139" s="58"/>
      <c r="H139" s="58">
        <f>SUM(C139:G139)</f>
        <v>847536919</v>
      </c>
      <c r="I139" s="58"/>
      <c r="J139" s="58">
        <f>+I139+H139</f>
        <v>847536919</v>
      </c>
      <c r="K139" s="58">
        <f aca="true" t="shared" si="25" ref="K139:K167">+J139-B139</f>
        <v>-311984664.15600014</v>
      </c>
      <c r="L139" s="59">
        <f aca="true" t="shared" si="26" ref="L139:L167">_xlfn.IFERROR((J139/B139),0)</f>
        <v>0.7309367340046949</v>
      </c>
    </row>
    <row r="140" spans="1:12" s="64" customFormat="1" ht="15.75" customHeight="1">
      <c r="A140" s="13" t="s">
        <v>56</v>
      </c>
      <c r="B140" s="61">
        <v>1159521583.1560001</v>
      </c>
      <c r="C140" s="56">
        <f>+C141+C143+C148</f>
        <v>847536919</v>
      </c>
      <c r="D140" s="62"/>
      <c r="E140" s="62"/>
      <c r="F140" s="62"/>
      <c r="G140" s="62"/>
      <c r="H140" s="61">
        <f>+C140+D140+E140+F140+G140</f>
        <v>847536919</v>
      </c>
      <c r="I140" s="62"/>
      <c r="J140" s="61">
        <f>+H140+I140</f>
        <v>847536919</v>
      </c>
      <c r="K140" s="61">
        <f t="shared" si="25"/>
        <v>-311984664.15600014</v>
      </c>
      <c r="L140" s="63">
        <f t="shared" si="26"/>
        <v>0.7309367340046949</v>
      </c>
    </row>
    <row r="141" spans="1:12" s="64" customFormat="1" ht="15">
      <c r="A141" s="45" t="s">
        <v>228</v>
      </c>
      <c r="B141" s="72">
        <v>147299540</v>
      </c>
      <c r="C141" s="53">
        <f>+C142</f>
        <v>17093223</v>
      </c>
      <c r="D141" s="62"/>
      <c r="E141" s="62"/>
      <c r="F141" s="80"/>
      <c r="G141" s="62"/>
      <c r="H141" s="72">
        <f aca="true" t="shared" si="27" ref="H141:H163">+C141+D141+E141+F141+G141</f>
        <v>17093223</v>
      </c>
      <c r="I141" s="62"/>
      <c r="J141" s="72">
        <f aca="true" t="shared" si="28" ref="J141:J167">+H141+I141</f>
        <v>17093223</v>
      </c>
      <c r="K141" s="72">
        <f t="shared" si="25"/>
        <v>-130206317</v>
      </c>
      <c r="L141" s="73">
        <f t="shared" si="26"/>
        <v>0.11604396727919178</v>
      </c>
    </row>
    <row r="142" spans="1:12" s="64" customFormat="1" ht="15" hidden="1" outlineLevel="1">
      <c r="A142" s="7" t="s">
        <v>229</v>
      </c>
      <c r="B142" s="66">
        <f>133801168+13498372</f>
        <v>147299540</v>
      </c>
      <c r="C142" s="69">
        <f>8546612+8546611</f>
        <v>17093223</v>
      </c>
      <c r="D142" s="62"/>
      <c r="E142" s="62"/>
      <c r="F142" s="62"/>
      <c r="G142" s="62"/>
      <c r="H142" s="66">
        <f t="shared" si="27"/>
        <v>17093223</v>
      </c>
      <c r="I142" s="62"/>
      <c r="J142" s="66">
        <f t="shared" si="28"/>
        <v>17093223</v>
      </c>
      <c r="K142" s="66">
        <f t="shared" si="25"/>
        <v>-130206317</v>
      </c>
      <c r="L142" s="67">
        <f t="shared" si="26"/>
        <v>0.11604396727919178</v>
      </c>
    </row>
    <row r="143" spans="1:12" s="64" customFormat="1" ht="15.75" customHeight="1" collapsed="1">
      <c r="A143" s="13" t="s">
        <v>227</v>
      </c>
      <c r="B143" s="72">
        <v>299791019.1544</v>
      </c>
      <c r="C143" s="56">
        <f>SUM(C144:C146)</f>
        <v>244980216</v>
      </c>
      <c r="D143" s="62"/>
      <c r="E143" s="62"/>
      <c r="F143" s="62"/>
      <c r="G143" s="62"/>
      <c r="H143" s="72">
        <f t="shared" si="27"/>
        <v>244980216</v>
      </c>
      <c r="I143" s="62"/>
      <c r="J143" s="72">
        <f>+H143+I143</f>
        <v>244980216</v>
      </c>
      <c r="K143" s="72">
        <f t="shared" si="25"/>
        <v>-54810803.15439999</v>
      </c>
      <c r="L143" s="73">
        <f t="shared" si="26"/>
        <v>0.8171699628994855</v>
      </c>
    </row>
    <row r="144" spans="1:12" s="64" customFormat="1" ht="15" hidden="1" outlineLevel="1">
      <c r="A144" s="6" t="s">
        <v>62</v>
      </c>
      <c r="B144" s="66">
        <v>41500000</v>
      </c>
      <c r="C144" s="69">
        <v>11621491</v>
      </c>
      <c r="D144" s="62"/>
      <c r="E144" s="62"/>
      <c r="F144" s="62"/>
      <c r="G144" s="62"/>
      <c r="H144" s="66">
        <f t="shared" si="27"/>
        <v>11621491</v>
      </c>
      <c r="I144" s="62"/>
      <c r="J144" s="66">
        <f>+H144+I144</f>
        <v>11621491</v>
      </c>
      <c r="K144" s="66">
        <f t="shared" si="25"/>
        <v>-29878509</v>
      </c>
      <c r="L144" s="67">
        <f>_xlfn.IFERROR((J144/B144),0)</f>
        <v>0.28003592771084335</v>
      </c>
    </row>
    <row r="145" spans="1:12" s="64" customFormat="1" ht="15" hidden="1" outlineLevel="1">
      <c r="A145" s="6" t="s">
        <v>61</v>
      </c>
      <c r="B145" s="66">
        <v>180936562.8524</v>
      </c>
      <c r="C145" s="69">
        <v>177725882</v>
      </c>
      <c r="D145" s="61"/>
      <c r="E145" s="61"/>
      <c r="F145" s="62"/>
      <c r="G145" s="62"/>
      <c r="H145" s="66">
        <f t="shared" si="27"/>
        <v>177725882</v>
      </c>
      <c r="I145" s="62"/>
      <c r="J145" s="66">
        <f>+H145+I145</f>
        <v>177725882</v>
      </c>
      <c r="K145" s="66">
        <f t="shared" si="25"/>
        <v>-3210680.852400005</v>
      </c>
      <c r="L145" s="47">
        <f t="shared" si="26"/>
        <v>0.9822552125353506</v>
      </c>
    </row>
    <row r="146" spans="1:12" s="64" customFormat="1" ht="15" hidden="1" outlineLevel="1">
      <c r="A146" s="12" t="s">
        <v>60</v>
      </c>
      <c r="B146" s="66">
        <v>57354456.302</v>
      </c>
      <c r="C146" s="69">
        <v>55632843</v>
      </c>
      <c r="D146" s="61"/>
      <c r="E146" s="61"/>
      <c r="F146" s="62"/>
      <c r="G146" s="62"/>
      <c r="H146" s="66">
        <f t="shared" si="27"/>
        <v>55632843</v>
      </c>
      <c r="I146" s="62"/>
      <c r="J146" s="66">
        <f>+H146+I146</f>
        <v>55632843</v>
      </c>
      <c r="K146" s="66">
        <f t="shared" si="25"/>
        <v>-1721613.302000001</v>
      </c>
      <c r="L146" s="67">
        <f t="shared" si="26"/>
        <v>0.9699829200204628</v>
      </c>
    </row>
    <row r="147" spans="1:12" s="64" customFormat="1" ht="15" hidden="1" outlineLevel="1">
      <c r="A147" s="12" t="s">
        <v>248</v>
      </c>
      <c r="B147" s="66">
        <v>20000000</v>
      </c>
      <c r="C147" s="69"/>
      <c r="D147" s="61"/>
      <c r="E147" s="61"/>
      <c r="F147" s="62"/>
      <c r="G147" s="62"/>
      <c r="H147" s="66"/>
      <c r="I147" s="62"/>
      <c r="J147" s="66">
        <v>20000000</v>
      </c>
      <c r="K147" s="66">
        <f t="shared" si="25"/>
        <v>0</v>
      </c>
      <c r="L147" s="67">
        <f t="shared" si="26"/>
        <v>1</v>
      </c>
    </row>
    <row r="148" spans="1:12" s="64" customFormat="1" ht="15.75" customHeight="1" collapsed="1">
      <c r="A148" s="13" t="s">
        <v>182</v>
      </c>
      <c r="B148" s="61">
        <v>712431024.0016</v>
      </c>
      <c r="C148" s="56">
        <f>+C149+C158+C167</f>
        <v>585463480</v>
      </c>
      <c r="D148" s="62"/>
      <c r="E148" s="62"/>
      <c r="F148" s="62"/>
      <c r="G148" s="62"/>
      <c r="H148" s="61">
        <f t="shared" si="27"/>
        <v>585463480</v>
      </c>
      <c r="I148" s="62"/>
      <c r="J148" s="61">
        <f t="shared" si="28"/>
        <v>585463480</v>
      </c>
      <c r="K148" s="61">
        <f t="shared" si="25"/>
        <v>-126967544.00160003</v>
      </c>
      <c r="L148" s="63">
        <f t="shared" si="26"/>
        <v>0.8217826853069289</v>
      </c>
    </row>
    <row r="149" spans="1:12" s="64" customFormat="1" ht="15" hidden="1" outlineLevel="1">
      <c r="A149" s="42" t="s">
        <v>230</v>
      </c>
      <c r="B149" s="72">
        <v>345285000</v>
      </c>
      <c r="C149" s="53">
        <f>SUM(C150:C157)</f>
        <v>290931776</v>
      </c>
      <c r="D149" s="61"/>
      <c r="E149" s="61"/>
      <c r="F149" s="62"/>
      <c r="G149" s="62"/>
      <c r="H149" s="72">
        <f t="shared" si="27"/>
        <v>290931776</v>
      </c>
      <c r="I149" s="62"/>
      <c r="J149" s="72">
        <f t="shared" si="28"/>
        <v>290931776</v>
      </c>
      <c r="K149" s="72">
        <f t="shared" si="25"/>
        <v>-54353224</v>
      </c>
      <c r="L149" s="73">
        <f t="shared" si="26"/>
        <v>0.8425844621110098</v>
      </c>
    </row>
    <row r="150" spans="1:12" s="64" customFormat="1" ht="15" hidden="1" outlineLevel="4">
      <c r="A150" s="12" t="s">
        <v>232</v>
      </c>
      <c r="B150" s="66">
        <v>96000000</v>
      </c>
      <c r="C150" s="69">
        <v>46000000</v>
      </c>
      <c r="D150" s="61"/>
      <c r="E150" s="61"/>
      <c r="F150" s="62"/>
      <c r="G150" s="62"/>
      <c r="H150" s="66">
        <f t="shared" si="27"/>
        <v>46000000</v>
      </c>
      <c r="I150" s="62"/>
      <c r="J150" s="66">
        <f t="shared" si="28"/>
        <v>46000000</v>
      </c>
      <c r="K150" s="66">
        <f t="shared" si="25"/>
        <v>-50000000</v>
      </c>
      <c r="L150" s="67">
        <f t="shared" si="26"/>
        <v>0.4791666666666667</v>
      </c>
    </row>
    <row r="151" spans="1:12" s="64" customFormat="1" ht="15" hidden="1" outlineLevel="4">
      <c r="A151" s="12" t="s">
        <v>237</v>
      </c>
      <c r="B151" s="66">
        <v>101910000</v>
      </c>
      <c r="C151" s="69">
        <v>97556776</v>
      </c>
      <c r="D151" s="61"/>
      <c r="E151" s="61"/>
      <c r="F151" s="62"/>
      <c r="G151" s="62"/>
      <c r="H151" s="66">
        <f t="shared" si="27"/>
        <v>97556776</v>
      </c>
      <c r="I151" s="62"/>
      <c r="J151" s="66">
        <f t="shared" si="28"/>
        <v>97556776</v>
      </c>
      <c r="K151" s="66">
        <f t="shared" si="25"/>
        <v>-4353224</v>
      </c>
      <c r="L151" s="67">
        <f t="shared" si="26"/>
        <v>0.9572836424295947</v>
      </c>
    </row>
    <row r="152" spans="1:12" s="64" customFormat="1" ht="15" hidden="1" outlineLevel="4">
      <c r="A152" s="12" t="s">
        <v>233</v>
      </c>
      <c r="B152" s="66">
        <v>0</v>
      </c>
      <c r="C152" s="69">
        <v>0</v>
      </c>
      <c r="D152" s="61"/>
      <c r="E152" s="61"/>
      <c r="F152" s="62"/>
      <c r="G152" s="62"/>
      <c r="H152" s="66">
        <f t="shared" si="27"/>
        <v>0</v>
      </c>
      <c r="I152" s="62"/>
      <c r="J152" s="66">
        <f t="shared" si="28"/>
        <v>0</v>
      </c>
      <c r="K152" s="66">
        <f t="shared" si="25"/>
        <v>0</v>
      </c>
      <c r="L152" s="67">
        <f t="shared" si="26"/>
        <v>0</v>
      </c>
    </row>
    <row r="153" spans="1:12" s="64" customFormat="1" ht="15" hidden="1" outlineLevel="4">
      <c r="A153" s="12" t="s">
        <v>236</v>
      </c>
      <c r="B153" s="66">
        <v>0</v>
      </c>
      <c r="C153" s="69">
        <v>0</v>
      </c>
      <c r="D153" s="61"/>
      <c r="E153" s="61"/>
      <c r="F153" s="62"/>
      <c r="G153" s="62"/>
      <c r="H153" s="66">
        <f t="shared" si="27"/>
        <v>0</v>
      </c>
      <c r="I153" s="62"/>
      <c r="J153" s="66">
        <f t="shared" si="28"/>
        <v>0</v>
      </c>
      <c r="K153" s="66">
        <f t="shared" si="25"/>
        <v>0</v>
      </c>
      <c r="L153" s="67">
        <f t="shared" si="26"/>
        <v>0</v>
      </c>
    </row>
    <row r="154" spans="1:12" s="64" customFormat="1" ht="15" hidden="1" outlineLevel="4">
      <c r="A154" s="12" t="s">
        <v>234</v>
      </c>
      <c r="B154" s="66">
        <v>0</v>
      </c>
      <c r="C154" s="69">
        <v>0</v>
      </c>
      <c r="D154" s="61"/>
      <c r="E154" s="61"/>
      <c r="F154" s="62"/>
      <c r="G154" s="62"/>
      <c r="H154" s="66">
        <f t="shared" si="27"/>
        <v>0</v>
      </c>
      <c r="I154" s="62"/>
      <c r="J154" s="66">
        <f t="shared" si="28"/>
        <v>0</v>
      </c>
      <c r="K154" s="66">
        <f t="shared" si="25"/>
        <v>0</v>
      </c>
      <c r="L154" s="67">
        <f t="shared" si="26"/>
        <v>0</v>
      </c>
    </row>
    <row r="155" spans="1:12" s="64" customFormat="1" ht="15" hidden="1" outlineLevel="4">
      <c r="A155" s="12" t="s">
        <v>235</v>
      </c>
      <c r="B155" s="66">
        <v>0</v>
      </c>
      <c r="C155" s="69">
        <v>0</v>
      </c>
      <c r="D155" s="61"/>
      <c r="E155" s="61"/>
      <c r="F155" s="62"/>
      <c r="G155" s="62"/>
      <c r="H155" s="66">
        <f t="shared" si="27"/>
        <v>0</v>
      </c>
      <c r="I155" s="62"/>
      <c r="J155" s="66">
        <f t="shared" si="28"/>
        <v>0</v>
      </c>
      <c r="K155" s="66">
        <f t="shared" si="25"/>
        <v>0</v>
      </c>
      <c r="L155" s="67">
        <f t="shared" si="26"/>
        <v>0</v>
      </c>
    </row>
    <row r="156" spans="1:12" s="64" customFormat="1" ht="15" hidden="1" outlineLevel="4">
      <c r="A156" s="12" t="s">
        <v>244</v>
      </c>
      <c r="B156" s="66">
        <v>147375000</v>
      </c>
      <c r="C156" s="69">
        <v>147375000</v>
      </c>
      <c r="D156" s="61"/>
      <c r="E156" s="61"/>
      <c r="F156" s="62"/>
      <c r="G156" s="62"/>
      <c r="H156" s="66">
        <f t="shared" si="27"/>
        <v>147375000</v>
      </c>
      <c r="I156" s="62"/>
      <c r="J156" s="66">
        <f t="shared" si="28"/>
        <v>147375000</v>
      </c>
      <c r="K156" s="66">
        <f t="shared" si="25"/>
        <v>0</v>
      </c>
      <c r="L156" s="67">
        <f t="shared" si="26"/>
        <v>1</v>
      </c>
    </row>
    <row r="157" spans="1:12" s="64" customFormat="1" ht="15" hidden="1" outlineLevel="4">
      <c r="A157" s="12" t="s">
        <v>245</v>
      </c>
      <c r="B157" s="66">
        <v>0</v>
      </c>
      <c r="C157" s="69">
        <v>0</v>
      </c>
      <c r="D157" s="61"/>
      <c r="E157" s="61"/>
      <c r="F157" s="62"/>
      <c r="G157" s="62"/>
      <c r="H157" s="66">
        <f t="shared" si="27"/>
        <v>0</v>
      </c>
      <c r="I157" s="62"/>
      <c r="J157" s="66">
        <f t="shared" si="28"/>
        <v>0</v>
      </c>
      <c r="K157" s="66">
        <f t="shared" si="25"/>
        <v>0</v>
      </c>
      <c r="L157" s="67">
        <f t="shared" si="26"/>
        <v>0</v>
      </c>
    </row>
    <row r="158" spans="1:12" s="64" customFormat="1" ht="15" hidden="1" outlineLevel="1">
      <c r="A158" s="42" t="s">
        <v>231</v>
      </c>
      <c r="B158" s="72">
        <v>345285000</v>
      </c>
      <c r="C158" s="53">
        <f>SUM(C159:C166)</f>
        <v>285902573</v>
      </c>
      <c r="D158" s="61"/>
      <c r="E158" s="61"/>
      <c r="F158" s="62"/>
      <c r="G158" s="62"/>
      <c r="H158" s="72">
        <f>+C158+D158+E158+F158+G158</f>
        <v>285902573</v>
      </c>
      <c r="I158" s="62"/>
      <c r="J158" s="72">
        <f t="shared" si="28"/>
        <v>285902573</v>
      </c>
      <c r="K158" s="72">
        <f t="shared" si="25"/>
        <v>-59382427</v>
      </c>
      <c r="L158" s="73">
        <f t="shared" si="26"/>
        <v>0.8280190943713165</v>
      </c>
    </row>
    <row r="159" spans="1:12" s="64" customFormat="1" ht="15" hidden="1" outlineLevel="2">
      <c r="A159" s="12" t="s">
        <v>232</v>
      </c>
      <c r="B159" s="66">
        <v>96000000</v>
      </c>
      <c r="C159" s="69">
        <v>40970796</v>
      </c>
      <c r="D159" s="61"/>
      <c r="E159" s="61"/>
      <c r="F159" s="62"/>
      <c r="G159" s="62"/>
      <c r="H159" s="66">
        <f t="shared" si="27"/>
        <v>40970796</v>
      </c>
      <c r="I159" s="62"/>
      <c r="J159" s="66">
        <f t="shared" si="28"/>
        <v>40970796</v>
      </c>
      <c r="K159" s="66">
        <f t="shared" si="25"/>
        <v>-55029204</v>
      </c>
      <c r="L159" s="67">
        <f t="shared" si="26"/>
        <v>0.426779125</v>
      </c>
    </row>
    <row r="160" spans="1:12" s="64" customFormat="1" ht="15" hidden="1" outlineLevel="2">
      <c r="A160" s="12" t="s">
        <v>237</v>
      </c>
      <c r="B160" s="66">
        <v>101910000</v>
      </c>
      <c r="C160" s="69">
        <v>97556777</v>
      </c>
      <c r="D160" s="61"/>
      <c r="E160" s="61"/>
      <c r="F160" s="62"/>
      <c r="G160" s="62"/>
      <c r="H160" s="66">
        <f t="shared" si="27"/>
        <v>97556777</v>
      </c>
      <c r="I160" s="62"/>
      <c r="J160" s="66">
        <f t="shared" si="28"/>
        <v>97556777</v>
      </c>
      <c r="K160" s="66">
        <f t="shared" si="25"/>
        <v>-4353223</v>
      </c>
      <c r="L160" s="67">
        <f t="shared" si="26"/>
        <v>0.9572836522421745</v>
      </c>
    </row>
    <row r="161" spans="1:12" s="64" customFormat="1" ht="15" hidden="1" outlineLevel="2">
      <c r="A161" s="12" t="s">
        <v>233</v>
      </c>
      <c r="B161" s="66">
        <v>0</v>
      </c>
      <c r="C161" s="69">
        <v>0</v>
      </c>
      <c r="D161" s="61"/>
      <c r="E161" s="61"/>
      <c r="F161" s="62"/>
      <c r="G161" s="62"/>
      <c r="H161" s="66">
        <f t="shared" si="27"/>
        <v>0</v>
      </c>
      <c r="I161" s="62"/>
      <c r="J161" s="66">
        <f t="shared" si="28"/>
        <v>0</v>
      </c>
      <c r="K161" s="66">
        <f t="shared" si="25"/>
        <v>0</v>
      </c>
      <c r="L161" s="67">
        <f t="shared" si="26"/>
        <v>0</v>
      </c>
    </row>
    <row r="162" spans="1:12" s="64" customFormat="1" ht="15" hidden="1" outlineLevel="2">
      <c r="A162" s="12" t="s">
        <v>236</v>
      </c>
      <c r="B162" s="66">
        <v>0</v>
      </c>
      <c r="C162" s="69">
        <v>0</v>
      </c>
      <c r="D162" s="61"/>
      <c r="E162" s="61"/>
      <c r="F162" s="62"/>
      <c r="G162" s="62"/>
      <c r="H162" s="66">
        <f t="shared" si="27"/>
        <v>0</v>
      </c>
      <c r="I162" s="62"/>
      <c r="J162" s="66">
        <f>+H162+I162</f>
        <v>0</v>
      </c>
      <c r="K162" s="66">
        <f t="shared" si="25"/>
        <v>0</v>
      </c>
      <c r="L162" s="67">
        <f t="shared" si="26"/>
        <v>0</v>
      </c>
    </row>
    <row r="163" spans="1:12" s="64" customFormat="1" ht="15" hidden="1" outlineLevel="2">
      <c r="A163" s="12" t="s">
        <v>234</v>
      </c>
      <c r="B163" s="66">
        <v>0</v>
      </c>
      <c r="C163" s="69">
        <v>0</v>
      </c>
      <c r="D163" s="61"/>
      <c r="E163" s="61"/>
      <c r="F163" s="62"/>
      <c r="G163" s="62"/>
      <c r="H163" s="66">
        <f t="shared" si="27"/>
        <v>0</v>
      </c>
      <c r="I163" s="62"/>
      <c r="J163" s="66">
        <f>+H163+I163</f>
        <v>0</v>
      </c>
      <c r="K163" s="66">
        <f t="shared" si="25"/>
        <v>0</v>
      </c>
      <c r="L163" s="67">
        <f t="shared" si="26"/>
        <v>0</v>
      </c>
    </row>
    <row r="164" spans="1:12" s="64" customFormat="1" ht="15" hidden="1" outlineLevel="2">
      <c r="A164" s="12" t="s">
        <v>235</v>
      </c>
      <c r="B164" s="66">
        <v>0</v>
      </c>
      <c r="C164" s="69">
        <v>0</v>
      </c>
      <c r="D164" s="61"/>
      <c r="E164" s="61"/>
      <c r="F164" s="62"/>
      <c r="G164" s="62"/>
      <c r="H164" s="66">
        <f>+C164+D164+E164+F164+G164</f>
        <v>0</v>
      </c>
      <c r="I164" s="62"/>
      <c r="J164" s="66">
        <f>+H164+I164</f>
        <v>0</v>
      </c>
      <c r="K164" s="66">
        <f t="shared" si="25"/>
        <v>0</v>
      </c>
      <c r="L164" s="67">
        <f t="shared" si="26"/>
        <v>0</v>
      </c>
    </row>
    <row r="165" spans="1:12" s="64" customFormat="1" ht="15" hidden="1" outlineLevel="2">
      <c r="A165" s="12" t="s">
        <v>244</v>
      </c>
      <c r="B165" s="66">
        <v>147375000</v>
      </c>
      <c r="C165" s="69">
        <v>147375000</v>
      </c>
      <c r="D165" s="61"/>
      <c r="E165" s="61"/>
      <c r="F165" s="62"/>
      <c r="G165" s="62"/>
      <c r="H165" s="66">
        <f>+C165+D165+E165+F165+G165</f>
        <v>147375000</v>
      </c>
      <c r="I165" s="62"/>
      <c r="J165" s="66">
        <f>+H165+I165</f>
        <v>147375000</v>
      </c>
      <c r="K165" s="66">
        <f t="shared" si="25"/>
        <v>0</v>
      </c>
      <c r="L165" s="67">
        <f t="shared" si="26"/>
        <v>1</v>
      </c>
    </row>
    <row r="166" spans="1:12" s="64" customFormat="1" ht="15" hidden="1" outlineLevel="2">
      <c r="A166" s="12" t="s">
        <v>245</v>
      </c>
      <c r="B166" s="66">
        <v>0</v>
      </c>
      <c r="C166" s="69">
        <v>0</v>
      </c>
      <c r="D166" s="61"/>
      <c r="E166" s="61"/>
      <c r="F166" s="62"/>
      <c r="G166" s="62"/>
      <c r="H166" s="66">
        <f>+C166+D166+E166+F166+G166</f>
        <v>0</v>
      </c>
      <c r="I166" s="62"/>
      <c r="J166" s="66">
        <f>+H166+I166</f>
        <v>0</v>
      </c>
      <c r="K166" s="66">
        <f t="shared" si="25"/>
        <v>0</v>
      </c>
      <c r="L166" s="67">
        <f t="shared" si="26"/>
        <v>0</v>
      </c>
    </row>
    <row r="167" spans="1:12" s="64" customFormat="1" ht="15" hidden="1" outlineLevel="1">
      <c r="A167" s="42" t="s">
        <v>238</v>
      </c>
      <c r="B167" s="72">
        <v>21861024.001599997</v>
      </c>
      <c r="C167" s="53">
        <v>8629131</v>
      </c>
      <c r="D167" s="68"/>
      <c r="E167" s="68"/>
      <c r="F167" s="68"/>
      <c r="G167" s="68"/>
      <c r="H167" s="72">
        <f>+C167+D167+E167+F167+G167</f>
        <v>8629131</v>
      </c>
      <c r="I167" s="68"/>
      <c r="J167" s="72">
        <f t="shared" si="28"/>
        <v>8629131</v>
      </c>
      <c r="K167" s="72">
        <f t="shared" si="25"/>
        <v>-13231893.001599997</v>
      </c>
      <c r="L167" s="73">
        <f t="shared" si="26"/>
        <v>0.3947267520207854</v>
      </c>
    </row>
    <row r="168" spans="1:12" s="64" customFormat="1" ht="15" hidden="1" outlineLevel="1">
      <c r="A168" s="42"/>
      <c r="B168" s="72">
        <v>0</v>
      </c>
      <c r="C168" s="53"/>
      <c r="D168" s="68"/>
      <c r="E168" s="68"/>
      <c r="F168" s="68"/>
      <c r="G168" s="68"/>
      <c r="H168" s="72"/>
      <c r="I168" s="68"/>
      <c r="J168" s="72"/>
      <c r="K168" s="72"/>
      <c r="L168" s="73"/>
    </row>
    <row r="169" spans="1:12" s="60" customFormat="1" ht="30" collapsed="1">
      <c r="A169" s="11" t="s">
        <v>112</v>
      </c>
      <c r="B169" s="58">
        <v>944845016.3659999</v>
      </c>
      <c r="C169" s="58"/>
      <c r="D169" s="58">
        <f>+D170</f>
        <v>494190638</v>
      </c>
      <c r="E169" s="58"/>
      <c r="F169" s="58"/>
      <c r="G169" s="58">
        <f>+G177+G181+G186+G191</f>
        <v>404299387</v>
      </c>
      <c r="H169" s="58">
        <f>SUM(C169:G169)</f>
        <v>898490025</v>
      </c>
      <c r="I169" s="58"/>
      <c r="J169" s="58">
        <f aca="true" t="shared" si="29" ref="J169:J194">+I169+H169</f>
        <v>898490025</v>
      </c>
      <c r="K169" s="58">
        <f aca="true" t="shared" si="30" ref="K169:K194">+J169-B169</f>
        <v>-46354991.36599994</v>
      </c>
      <c r="L169" s="59">
        <f aca="true" t="shared" si="31" ref="L169:L194">_xlfn.IFERROR((J169/B169),0)</f>
        <v>0.9509390528996094</v>
      </c>
    </row>
    <row r="170" spans="1:12" s="64" customFormat="1" ht="15">
      <c r="A170" s="3" t="s">
        <v>126</v>
      </c>
      <c r="B170" s="72">
        <v>521863566.7839999</v>
      </c>
      <c r="C170" s="66"/>
      <c r="D170" s="72">
        <f>+D171+D176</f>
        <v>494190638</v>
      </c>
      <c r="E170" s="72"/>
      <c r="F170" s="77"/>
      <c r="G170" s="77"/>
      <c r="H170" s="72">
        <f aca="true" t="shared" si="32" ref="H170:H194">+C170+D170+F170+G170+E170</f>
        <v>494190638</v>
      </c>
      <c r="I170" s="77"/>
      <c r="J170" s="72">
        <f t="shared" si="29"/>
        <v>494190638</v>
      </c>
      <c r="K170" s="72">
        <f t="shared" si="30"/>
        <v>-27672928.78399992</v>
      </c>
      <c r="L170" s="73">
        <f t="shared" si="31"/>
        <v>0.9469728669611194</v>
      </c>
    </row>
    <row r="171" spans="1:12" s="64" customFormat="1" ht="15" hidden="1" outlineLevel="1">
      <c r="A171" s="25" t="s">
        <v>239</v>
      </c>
      <c r="B171" s="72">
        <v>456663566.7839999</v>
      </c>
      <c r="C171" s="72"/>
      <c r="D171" s="72">
        <f>SUM(D172:D175)</f>
        <v>436057045</v>
      </c>
      <c r="E171" s="72"/>
      <c r="F171" s="72"/>
      <c r="G171" s="77"/>
      <c r="H171" s="72">
        <f t="shared" si="32"/>
        <v>436057045</v>
      </c>
      <c r="I171" s="77"/>
      <c r="J171" s="72">
        <f t="shared" si="29"/>
        <v>436057045</v>
      </c>
      <c r="K171" s="72">
        <f t="shared" si="30"/>
        <v>-20606521.78399992</v>
      </c>
      <c r="L171" s="73">
        <f t="shared" si="31"/>
        <v>0.9548759233649425</v>
      </c>
    </row>
    <row r="172" spans="1:12" s="64" customFormat="1" ht="15" hidden="1" outlineLevel="2">
      <c r="A172" s="15" t="s">
        <v>163</v>
      </c>
      <c r="B172" s="66">
        <v>7500000</v>
      </c>
      <c r="C172" s="61"/>
      <c r="D172" s="66">
        <v>7495726</v>
      </c>
      <c r="E172" s="66"/>
      <c r="F172" s="65"/>
      <c r="G172" s="55"/>
      <c r="H172" s="66">
        <f t="shared" si="32"/>
        <v>7495726</v>
      </c>
      <c r="I172" s="55"/>
      <c r="J172" s="66">
        <f t="shared" si="29"/>
        <v>7495726</v>
      </c>
      <c r="K172" s="66">
        <f t="shared" si="30"/>
        <v>-4274</v>
      </c>
      <c r="L172" s="67">
        <f t="shared" si="31"/>
        <v>0.9994301333333333</v>
      </c>
    </row>
    <row r="173" spans="1:12" s="64" customFormat="1" ht="15" hidden="1" outlineLevel="2">
      <c r="A173" s="15" t="s">
        <v>137</v>
      </c>
      <c r="B173" s="66">
        <v>196563566.78399995</v>
      </c>
      <c r="C173" s="61"/>
      <c r="D173" s="66">
        <v>196479286</v>
      </c>
      <c r="E173" s="66"/>
      <c r="F173" s="65"/>
      <c r="G173" s="55"/>
      <c r="H173" s="66">
        <f t="shared" si="32"/>
        <v>196479286</v>
      </c>
      <c r="I173" s="55"/>
      <c r="J173" s="66">
        <f t="shared" si="29"/>
        <v>196479286</v>
      </c>
      <c r="K173" s="66">
        <f t="shared" si="30"/>
        <v>-84280.7839999497</v>
      </c>
      <c r="L173" s="67">
        <f t="shared" si="31"/>
        <v>0.999571228863116</v>
      </c>
    </row>
    <row r="174" spans="1:12" s="64" customFormat="1" ht="15" hidden="1" outlineLevel="2">
      <c r="A174" s="15" t="s">
        <v>138</v>
      </c>
      <c r="B174" s="66">
        <v>222195000</v>
      </c>
      <c r="C174" s="61"/>
      <c r="D174" s="66">
        <v>204187635</v>
      </c>
      <c r="E174" s="66"/>
      <c r="F174" s="65"/>
      <c r="G174" s="55"/>
      <c r="H174" s="66">
        <f t="shared" si="32"/>
        <v>204187635</v>
      </c>
      <c r="I174" s="55"/>
      <c r="J174" s="66">
        <f t="shared" si="29"/>
        <v>204187635</v>
      </c>
      <c r="K174" s="66">
        <f t="shared" si="30"/>
        <v>-18007365</v>
      </c>
      <c r="L174" s="47">
        <f t="shared" si="31"/>
        <v>0.9189569297238912</v>
      </c>
    </row>
    <row r="175" spans="1:12" s="64" customFormat="1" ht="15" hidden="1" outlineLevel="2">
      <c r="A175" s="15" t="s">
        <v>164</v>
      </c>
      <c r="B175" s="66">
        <v>30405000</v>
      </c>
      <c r="C175" s="61"/>
      <c r="D175" s="66">
        <v>27894398</v>
      </c>
      <c r="E175" s="66"/>
      <c r="F175" s="65"/>
      <c r="G175" s="55"/>
      <c r="H175" s="66">
        <f t="shared" si="32"/>
        <v>27894398</v>
      </c>
      <c r="I175" s="55"/>
      <c r="J175" s="66">
        <f t="shared" si="29"/>
        <v>27894398</v>
      </c>
      <c r="K175" s="66">
        <f t="shared" si="30"/>
        <v>-2510602</v>
      </c>
      <c r="L175" s="67">
        <f t="shared" si="31"/>
        <v>0.9174279888176287</v>
      </c>
    </row>
    <row r="176" spans="1:12" s="64" customFormat="1" ht="15" hidden="1" outlineLevel="1">
      <c r="A176" s="25" t="s">
        <v>240</v>
      </c>
      <c r="B176" s="72">
        <v>65200000</v>
      </c>
      <c r="C176" s="72"/>
      <c r="D176" s="72">
        <v>58133593</v>
      </c>
      <c r="E176" s="72"/>
      <c r="F176" s="72"/>
      <c r="G176" s="77"/>
      <c r="H176" s="72">
        <f t="shared" si="32"/>
        <v>58133593</v>
      </c>
      <c r="I176" s="77"/>
      <c r="J176" s="72">
        <f>+I176+H176</f>
        <v>58133593</v>
      </c>
      <c r="K176" s="72">
        <f t="shared" si="30"/>
        <v>-7066407</v>
      </c>
      <c r="L176" s="73">
        <f t="shared" si="31"/>
        <v>0.8916195245398773</v>
      </c>
    </row>
    <row r="177" spans="1:12" ht="17.25" customHeight="1" collapsed="1">
      <c r="A177" s="74" t="s">
        <v>113</v>
      </c>
      <c r="B177" s="72">
        <v>126418091.7612</v>
      </c>
      <c r="C177" s="70"/>
      <c r="D177" s="65"/>
      <c r="E177" s="65"/>
      <c r="F177" s="65"/>
      <c r="G177" s="53">
        <f>+G178+G179+G180</f>
        <v>119733674</v>
      </c>
      <c r="H177" s="72">
        <f t="shared" si="32"/>
        <v>119733674</v>
      </c>
      <c r="I177" s="55"/>
      <c r="J177" s="72">
        <f t="shared" si="29"/>
        <v>119733674</v>
      </c>
      <c r="K177" s="72">
        <f t="shared" si="30"/>
        <v>-6684417.761199996</v>
      </c>
      <c r="L177" s="73">
        <f t="shared" si="31"/>
        <v>0.9471245162138133</v>
      </c>
    </row>
    <row r="178" spans="1:12" ht="15" hidden="1" outlineLevel="1">
      <c r="A178" s="16" t="s">
        <v>87</v>
      </c>
      <c r="B178" s="66">
        <v>101918091.7612</v>
      </c>
      <c r="C178" s="70"/>
      <c r="D178" s="65"/>
      <c r="E178" s="65"/>
      <c r="F178" s="65"/>
      <c r="G178" s="69">
        <v>97476739</v>
      </c>
      <c r="H178" s="66">
        <f t="shared" si="32"/>
        <v>97476739</v>
      </c>
      <c r="I178" s="55"/>
      <c r="J178" s="66">
        <f t="shared" si="29"/>
        <v>97476739</v>
      </c>
      <c r="K178" s="66">
        <f t="shared" si="30"/>
        <v>-4441352.761199996</v>
      </c>
      <c r="L178" s="67">
        <f t="shared" si="31"/>
        <v>0.9564223320467348</v>
      </c>
    </row>
    <row r="179" spans="1:12" ht="15" hidden="1" outlineLevel="1">
      <c r="A179" s="10" t="s">
        <v>114</v>
      </c>
      <c r="B179" s="66">
        <v>20000000</v>
      </c>
      <c r="C179" s="70"/>
      <c r="D179" s="65"/>
      <c r="E179" s="65"/>
      <c r="F179" s="65"/>
      <c r="G179" s="69">
        <v>18124635</v>
      </c>
      <c r="H179" s="66">
        <f t="shared" si="32"/>
        <v>18124635</v>
      </c>
      <c r="I179" s="55"/>
      <c r="J179" s="66">
        <f t="shared" si="29"/>
        <v>18124635</v>
      </c>
      <c r="K179" s="66">
        <f t="shared" si="30"/>
        <v>-1875365</v>
      </c>
      <c r="L179" s="67">
        <f t="shared" si="31"/>
        <v>0.90623175</v>
      </c>
    </row>
    <row r="180" spans="1:12" ht="15" hidden="1" outlineLevel="1">
      <c r="A180" s="16" t="s">
        <v>104</v>
      </c>
      <c r="B180" s="66">
        <v>4500000</v>
      </c>
      <c r="C180" s="70"/>
      <c r="D180" s="65"/>
      <c r="E180" s="65"/>
      <c r="F180" s="65"/>
      <c r="G180" s="69">
        <v>4132300</v>
      </c>
      <c r="H180" s="66">
        <f t="shared" si="32"/>
        <v>4132300</v>
      </c>
      <c r="I180" s="55"/>
      <c r="J180" s="66">
        <f t="shared" si="29"/>
        <v>4132300</v>
      </c>
      <c r="K180" s="66">
        <f t="shared" si="30"/>
        <v>-367700</v>
      </c>
      <c r="L180" s="67">
        <f t="shared" si="31"/>
        <v>0.9182888888888889</v>
      </c>
    </row>
    <row r="181" spans="1:12" s="5" customFormat="1" ht="15" collapsed="1">
      <c r="A181" s="74" t="s">
        <v>201</v>
      </c>
      <c r="B181" s="72">
        <v>234553198</v>
      </c>
      <c r="C181" s="81"/>
      <c r="D181" s="65"/>
      <c r="E181" s="65"/>
      <c r="F181" s="65"/>
      <c r="G181" s="53">
        <f>+G182+G183+G184+G185</f>
        <v>224510971</v>
      </c>
      <c r="H181" s="72">
        <f t="shared" si="32"/>
        <v>224510971</v>
      </c>
      <c r="I181" s="77"/>
      <c r="J181" s="72">
        <f t="shared" si="29"/>
        <v>224510971</v>
      </c>
      <c r="K181" s="72">
        <f t="shared" si="30"/>
        <v>-10042227</v>
      </c>
      <c r="L181" s="73">
        <f t="shared" si="31"/>
        <v>0.9571857169903094</v>
      </c>
    </row>
    <row r="182" spans="1:12" s="5" customFormat="1" ht="14.25" hidden="1" outlineLevel="1">
      <c r="A182" s="16" t="s">
        <v>115</v>
      </c>
      <c r="B182" s="66">
        <v>202223598</v>
      </c>
      <c r="C182" s="81"/>
      <c r="D182" s="65"/>
      <c r="E182" s="65"/>
      <c r="F182" s="65"/>
      <c r="G182" s="69">
        <v>195255123</v>
      </c>
      <c r="H182" s="66">
        <f t="shared" si="32"/>
        <v>195255123</v>
      </c>
      <c r="I182" s="55"/>
      <c r="J182" s="66">
        <f t="shared" si="29"/>
        <v>195255123</v>
      </c>
      <c r="K182" s="66">
        <f t="shared" si="30"/>
        <v>-6968475</v>
      </c>
      <c r="L182" s="67">
        <f t="shared" si="31"/>
        <v>0.96554074267831</v>
      </c>
    </row>
    <row r="183" spans="1:12" s="5" customFormat="1" ht="14.25" hidden="1" outlineLevel="1">
      <c r="A183" s="16" t="s">
        <v>116</v>
      </c>
      <c r="B183" s="66">
        <v>829599.9999999999</v>
      </c>
      <c r="C183" s="81"/>
      <c r="D183" s="65"/>
      <c r="E183" s="65"/>
      <c r="F183" s="65"/>
      <c r="G183" s="69">
        <v>817553</v>
      </c>
      <c r="H183" s="66">
        <f t="shared" si="32"/>
        <v>817553</v>
      </c>
      <c r="I183" s="55"/>
      <c r="J183" s="66">
        <f t="shared" si="29"/>
        <v>817553</v>
      </c>
      <c r="K183" s="66">
        <f t="shared" si="30"/>
        <v>-12046.999999999884</v>
      </c>
      <c r="L183" s="67">
        <f t="shared" si="31"/>
        <v>0.9854785438765672</v>
      </c>
    </row>
    <row r="184" spans="1:12" s="5" customFormat="1" ht="14.25" hidden="1" outlineLevel="1">
      <c r="A184" s="16" t="s">
        <v>117</v>
      </c>
      <c r="B184" s="66">
        <v>27000000</v>
      </c>
      <c r="C184" s="81"/>
      <c r="D184" s="65"/>
      <c r="E184" s="65"/>
      <c r="F184" s="65"/>
      <c r="G184" s="69">
        <v>25478826</v>
      </c>
      <c r="H184" s="66">
        <f t="shared" si="32"/>
        <v>25478826</v>
      </c>
      <c r="I184" s="55"/>
      <c r="J184" s="66">
        <f t="shared" si="29"/>
        <v>25478826</v>
      </c>
      <c r="K184" s="66">
        <f t="shared" si="30"/>
        <v>-1521174</v>
      </c>
      <c r="L184" s="47">
        <f t="shared" si="31"/>
        <v>0.9436602222222222</v>
      </c>
    </row>
    <row r="185" spans="1:12" s="5" customFormat="1" ht="14.25" hidden="1" outlineLevel="1">
      <c r="A185" s="16" t="s">
        <v>104</v>
      </c>
      <c r="B185" s="66">
        <v>4500000</v>
      </c>
      <c r="C185" s="81"/>
      <c r="D185" s="65"/>
      <c r="E185" s="65"/>
      <c r="F185" s="65"/>
      <c r="G185" s="69">
        <v>2959469</v>
      </c>
      <c r="H185" s="66">
        <f t="shared" si="32"/>
        <v>2959469</v>
      </c>
      <c r="I185" s="55"/>
      <c r="J185" s="66">
        <f t="shared" si="29"/>
        <v>2959469</v>
      </c>
      <c r="K185" s="66">
        <f t="shared" si="30"/>
        <v>-1540531</v>
      </c>
      <c r="L185" s="67">
        <f t="shared" si="31"/>
        <v>0.6576597777777777</v>
      </c>
    </row>
    <row r="186" spans="1:12" s="5" customFormat="1" ht="15" collapsed="1">
      <c r="A186" s="74" t="s">
        <v>118</v>
      </c>
      <c r="B186" s="72">
        <v>62010159.82080001</v>
      </c>
      <c r="C186" s="81"/>
      <c r="D186" s="65"/>
      <c r="E186" s="65"/>
      <c r="F186" s="65"/>
      <c r="G186" s="53">
        <f>+G187+G188+G189+G190</f>
        <v>60054742</v>
      </c>
      <c r="H186" s="72">
        <f t="shared" si="32"/>
        <v>60054742</v>
      </c>
      <c r="I186" s="77"/>
      <c r="J186" s="72">
        <f>+I186+H186</f>
        <v>60054742</v>
      </c>
      <c r="K186" s="72">
        <f t="shared" si="30"/>
        <v>-1955417.8208000064</v>
      </c>
      <c r="L186" s="73">
        <f t="shared" si="31"/>
        <v>0.9684661702783727</v>
      </c>
    </row>
    <row r="187" spans="1:12" s="5" customFormat="1" ht="15" customHeight="1" hidden="1" outlineLevel="1">
      <c r="A187" s="16" t="s">
        <v>119</v>
      </c>
      <c r="B187" s="66">
        <v>62010160</v>
      </c>
      <c r="C187" s="81"/>
      <c r="D187" s="65"/>
      <c r="E187" s="65"/>
      <c r="F187" s="65"/>
      <c r="G187" s="69">
        <v>60054742</v>
      </c>
      <c r="H187" s="66">
        <f t="shared" si="32"/>
        <v>60054742</v>
      </c>
      <c r="I187" s="55"/>
      <c r="J187" s="66">
        <f t="shared" si="29"/>
        <v>60054742</v>
      </c>
      <c r="K187" s="66">
        <f t="shared" si="30"/>
        <v>-1955418</v>
      </c>
      <c r="L187" s="67">
        <f t="shared" si="31"/>
        <v>0.9684661674796518</v>
      </c>
    </row>
    <row r="188" spans="1:12" s="5" customFormat="1" ht="14.25" hidden="1" outlineLevel="1">
      <c r="A188" s="16" t="s">
        <v>148</v>
      </c>
      <c r="B188" s="66">
        <v>-0.17919999361038208</v>
      </c>
      <c r="C188" s="81"/>
      <c r="D188" s="65"/>
      <c r="E188" s="65"/>
      <c r="F188" s="65"/>
      <c r="G188" s="69"/>
      <c r="H188" s="66">
        <f t="shared" si="32"/>
        <v>0</v>
      </c>
      <c r="I188" s="55"/>
      <c r="J188" s="66">
        <f t="shared" si="29"/>
        <v>0</v>
      </c>
      <c r="K188" s="66">
        <f t="shared" si="30"/>
        <v>0.17919999361038208</v>
      </c>
      <c r="L188" s="67">
        <f t="shared" si="31"/>
        <v>0</v>
      </c>
    </row>
    <row r="189" spans="1:12" s="5" customFormat="1" ht="14.25" hidden="1" outlineLevel="1">
      <c r="A189" s="16" t="s">
        <v>176</v>
      </c>
      <c r="B189" s="66">
        <v>0</v>
      </c>
      <c r="C189" s="81"/>
      <c r="D189" s="65"/>
      <c r="E189" s="65"/>
      <c r="F189" s="65"/>
      <c r="G189" s="69"/>
      <c r="H189" s="66">
        <f t="shared" si="32"/>
        <v>0</v>
      </c>
      <c r="I189" s="55"/>
      <c r="J189" s="66">
        <f t="shared" si="29"/>
        <v>0</v>
      </c>
      <c r="K189" s="66">
        <f t="shared" si="30"/>
        <v>0</v>
      </c>
      <c r="L189" s="67">
        <f t="shared" si="31"/>
        <v>0</v>
      </c>
    </row>
    <row r="190" spans="1:12" s="5" customFormat="1" ht="14.25" hidden="1" outlineLevel="1">
      <c r="A190" s="16" t="s">
        <v>177</v>
      </c>
      <c r="B190" s="66">
        <v>0</v>
      </c>
      <c r="C190" s="81"/>
      <c r="D190" s="65"/>
      <c r="E190" s="65"/>
      <c r="F190" s="65"/>
      <c r="G190" s="69"/>
      <c r="H190" s="66">
        <f t="shared" si="32"/>
        <v>0</v>
      </c>
      <c r="I190" s="55"/>
      <c r="J190" s="66">
        <f t="shared" si="29"/>
        <v>0</v>
      </c>
      <c r="K190" s="66">
        <f t="shared" si="30"/>
        <v>0</v>
      </c>
      <c r="L190" s="67">
        <f t="shared" si="31"/>
        <v>0</v>
      </c>
    </row>
    <row r="191" spans="1:12" s="5" customFormat="1" ht="15" collapsed="1">
      <c r="A191" s="25" t="s">
        <v>202</v>
      </c>
      <c r="B191" s="72">
        <v>0</v>
      </c>
      <c r="C191" s="81"/>
      <c r="D191" s="65"/>
      <c r="E191" s="65"/>
      <c r="F191" s="65"/>
      <c r="G191" s="53">
        <f>SUM(G192:G194)</f>
        <v>0</v>
      </c>
      <c r="H191" s="72">
        <f t="shared" si="32"/>
        <v>0</v>
      </c>
      <c r="I191" s="55"/>
      <c r="J191" s="72">
        <f t="shared" si="29"/>
        <v>0</v>
      </c>
      <c r="K191" s="72">
        <f t="shared" si="30"/>
        <v>0</v>
      </c>
      <c r="L191" s="73">
        <f t="shared" si="31"/>
        <v>0</v>
      </c>
    </row>
    <row r="192" spans="1:12" s="5" customFormat="1" ht="15" customHeight="1" hidden="1" outlineLevel="1">
      <c r="A192" s="16" t="s">
        <v>178</v>
      </c>
      <c r="B192" s="66">
        <v>0</v>
      </c>
      <c r="C192" s="81"/>
      <c r="D192" s="65"/>
      <c r="E192" s="65"/>
      <c r="F192" s="65"/>
      <c r="G192" s="69"/>
      <c r="H192" s="66">
        <f t="shared" si="32"/>
        <v>0</v>
      </c>
      <c r="I192" s="55"/>
      <c r="J192" s="66">
        <f t="shared" si="29"/>
        <v>0</v>
      </c>
      <c r="K192" s="66">
        <f t="shared" si="30"/>
        <v>0</v>
      </c>
      <c r="L192" s="67">
        <f t="shared" si="31"/>
        <v>0</v>
      </c>
    </row>
    <row r="193" spans="1:12" s="5" customFormat="1" ht="14.25" hidden="1" outlineLevel="1">
      <c r="A193" s="16" t="s">
        <v>179</v>
      </c>
      <c r="B193" s="66">
        <v>0</v>
      </c>
      <c r="C193" s="81"/>
      <c r="D193" s="65"/>
      <c r="E193" s="65"/>
      <c r="F193" s="65"/>
      <c r="G193" s="69"/>
      <c r="H193" s="66">
        <f t="shared" si="32"/>
        <v>0</v>
      </c>
      <c r="I193" s="55"/>
      <c r="J193" s="66">
        <f t="shared" si="29"/>
        <v>0</v>
      </c>
      <c r="K193" s="66">
        <f t="shared" si="30"/>
        <v>0</v>
      </c>
      <c r="L193" s="67">
        <f t="shared" si="31"/>
        <v>0</v>
      </c>
    </row>
    <row r="194" spans="1:12" s="5" customFormat="1" ht="14.25" hidden="1" outlineLevel="1">
      <c r="A194" s="16" t="s">
        <v>180</v>
      </c>
      <c r="B194" s="66">
        <v>0</v>
      </c>
      <c r="C194" s="81"/>
      <c r="D194" s="65"/>
      <c r="E194" s="65"/>
      <c r="F194" s="65"/>
      <c r="G194" s="69"/>
      <c r="H194" s="66">
        <f t="shared" si="32"/>
        <v>0</v>
      </c>
      <c r="I194" s="55"/>
      <c r="J194" s="66">
        <f t="shared" si="29"/>
        <v>0</v>
      </c>
      <c r="K194" s="66">
        <f t="shared" si="30"/>
        <v>0</v>
      </c>
      <c r="L194" s="67">
        <f t="shared" si="31"/>
        <v>0</v>
      </c>
    </row>
    <row r="195" spans="1:12" s="5" customFormat="1" ht="14.25" collapsed="1">
      <c r="A195" s="10"/>
      <c r="B195" s="69"/>
      <c r="C195" s="82"/>
      <c r="D195" s="54"/>
      <c r="E195" s="54"/>
      <c r="F195" s="54"/>
      <c r="G195" s="69"/>
      <c r="H195" s="69"/>
      <c r="I195" s="51"/>
      <c r="J195" s="69"/>
      <c r="K195" s="69"/>
      <c r="L195" s="47"/>
    </row>
    <row r="196" spans="1:12" s="60" customFormat="1" ht="30">
      <c r="A196" s="11" t="s">
        <v>120</v>
      </c>
      <c r="B196" s="58">
        <v>234074675.9328</v>
      </c>
      <c r="C196" s="58">
        <f>+C197+C200</f>
        <v>222296464</v>
      </c>
      <c r="D196" s="58"/>
      <c r="E196" s="58"/>
      <c r="F196" s="58"/>
      <c r="G196" s="58"/>
      <c r="H196" s="58">
        <f>SUM(C196:G196)</f>
        <v>222296464</v>
      </c>
      <c r="I196" s="58"/>
      <c r="J196" s="58">
        <f>+I196+H196</f>
        <v>222296464</v>
      </c>
      <c r="K196" s="58">
        <f aca="true" t="shared" si="33" ref="K196:K202">+J196-B196</f>
        <v>-11778211.932799995</v>
      </c>
      <c r="L196" s="59">
        <f aca="true" t="shared" si="34" ref="L196:L202">_xlfn.IFERROR((J196/B196),0)</f>
        <v>0.9496818189073073</v>
      </c>
    </row>
    <row r="197" spans="1:12" s="64" customFormat="1" ht="15">
      <c r="A197" s="13" t="s">
        <v>36</v>
      </c>
      <c r="B197" s="72">
        <v>154144288.9328</v>
      </c>
      <c r="C197" s="56">
        <f>+C198+C199</f>
        <v>153226023</v>
      </c>
      <c r="D197" s="83"/>
      <c r="E197" s="83"/>
      <c r="F197" s="65"/>
      <c r="G197" s="61"/>
      <c r="H197" s="72">
        <f aca="true" t="shared" si="35" ref="H197:H202">+C197+D197+F197+G197+E197</f>
        <v>153226023</v>
      </c>
      <c r="I197" s="77"/>
      <c r="J197" s="72">
        <f aca="true" t="shared" si="36" ref="J197:J202">+H197+I197</f>
        <v>153226023</v>
      </c>
      <c r="K197" s="72">
        <f t="shared" si="33"/>
        <v>-918265.932799995</v>
      </c>
      <c r="L197" s="73">
        <f t="shared" si="34"/>
        <v>0.9940428157335085</v>
      </c>
    </row>
    <row r="198" spans="1:12" s="64" customFormat="1" ht="14.25" hidden="1" outlineLevel="1">
      <c r="A198" s="20" t="s">
        <v>142</v>
      </c>
      <c r="B198" s="65">
        <v>111730167.2432</v>
      </c>
      <c r="C198" s="54">
        <v>110850666</v>
      </c>
      <c r="D198" s="55"/>
      <c r="E198" s="55"/>
      <c r="F198" s="55"/>
      <c r="G198" s="65"/>
      <c r="H198" s="65">
        <f t="shared" si="35"/>
        <v>110850666</v>
      </c>
      <c r="I198" s="55"/>
      <c r="J198" s="65">
        <f t="shared" si="36"/>
        <v>110850666</v>
      </c>
      <c r="K198" s="65">
        <f t="shared" si="33"/>
        <v>-879501.2432000041</v>
      </c>
      <c r="L198" s="84">
        <f t="shared" si="34"/>
        <v>0.992128345773567</v>
      </c>
    </row>
    <row r="199" spans="1:12" s="64" customFormat="1" ht="14.25" hidden="1" outlineLevel="1">
      <c r="A199" s="20" t="s">
        <v>63</v>
      </c>
      <c r="B199" s="65">
        <v>42414121.6896</v>
      </c>
      <c r="C199" s="54">
        <v>42375357</v>
      </c>
      <c r="D199" s="55"/>
      <c r="E199" s="55"/>
      <c r="F199" s="55"/>
      <c r="G199" s="65"/>
      <c r="H199" s="65">
        <f t="shared" si="35"/>
        <v>42375357</v>
      </c>
      <c r="I199" s="55"/>
      <c r="J199" s="65">
        <f t="shared" si="36"/>
        <v>42375357</v>
      </c>
      <c r="K199" s="65">
        <f t="shared" si="33"/>
        <v>-38764.689599998295</v>
      </c>
      <c r="L199" s="52">
        <f t="shared" si="34"/>
        <v>0.9990860428542245</v>
      </c>
    </row>
    <row r="200" spans="1:12" s="64" customFormat="1" ht="15" collapsed="1">
      <c r="A200" s="13" t="s">
        <v>143</v>
      </c>
      <c r="B200" s="72">
        <v>79930387</v>
      </c>
      <c r="C200" s="53">
        <f>SUM(C201:C202)</f>
        <v>69070441</v>
      </c>
      <c r="D200" s="55"/>
      <c r="E200" s="55"/>
      <c r="F200" s="55"/>
      <c r="G200" s="65"/>
      <c r="H200" s="72">
        <f t="shared" si="35"/>
        <v>69070441</v>
      </c>
      <c r="I200" s="55"/>
      <c r="J200" s="72">
        <f t="shared" si="36"/>
        <v>69070441</v>
      </c>
      <c r="K200" s="72">
        <f t="shared" si="33"/>
        <v>-10859946</v>
      </c>
      <c r="L200" s="73">
        <f t="shared" si="34"/>
        <v>0.8641324481514145</v>
      </c>
    </row>
    <row r="201" spans="1:12" s="64" customFormat="1" ht="14.25" hidden="1" outlineLevel="1">
      <c r="A201" s="20" t="s">
        <v>183</v>
      </c>
      <c r="B201" s="65">
        <v>16680000</v>
      </c>
      <c r="C201" s="54">
        <v>16071180</v>
      </c>
      <c r="D201" s="55"/>
      <c r="E201" s="55"/>
      <c r="F201" s="55"/>
      <c r="G201" s="65"/>
      <c r="H201" s="65">
        <f t="shared" si="35"/>
        <v>16071180</v>
      </c>
      <c r="I201" s="55"/>
      <c r="J201" s="65">
        <f t="shared" si="36"/>
        <v>16071180</v>
      </c>
      <c r="K201" s="65">
        <f t="shared" si="33"/>
        <v>-608820</v>
      </c>
      <c r="L201" s="84">
        <f t="shared" si="34"/>
        <v>0.9635</v>
      </c>
    </row>
    <row r="202" spans="1:12" s="64" customFormat="1" ht="14.25" hidden="1" outlineLevel="1">
      <c r="A202" s="20" t="s">
        <v>184</v>
      </c>
      <c r="B202" s="65">
        <v>63250387</v>
      </c>
      <c r="C202" s="54">
        <v>52999261</v>
      </c>
      <c r="D202" s="55"/>
      <c r="E202" s="55"/>
      <c r="F202" s="55"/>
      <c r="G202" s="65"/>
      <c r="H202" s="65">
        <f t="shared" si="35"/>
        <v>52999261</v>
      </c>
      <c r="I202" s="55"/>
      <c r="J202" s="65">
        <f t="shared" si="36"/>
        <v>52999261</v>
      </c>
      <c r="K202" s="65">
        <f t="shared" si="33"/>
        <v>-10251126</v>
      </c>
      <c r="L202" s="84">
        <f t="shared" si="34"/>
        <v>0.8379278533110003</v>
      </c>
    </row>
    <row r="203" spans="1:12" s="64" customFormat="1" ht="14.25" collapsed="1">
      <c r="A203" s="20"/>
      <c r="B203" s="65"/>
      <c r="C203" s="65"/>
      <c r="D203" s="55"/>
      <c r="E203" s="55"/>
      <c r="F203" s="55"/>
      <c r="G203" s="65"/>
      <c r="H203" s="65"/>
      <c r="I203" s="55"/>
      <c r="J203" s="65"/>
      <c r="K203" s="65"/>
      <c r="L203" s="84"/>
    </row>
    <row r="204" spans="1:12" s="60" customFormat="1" ht="29.25" customHeight="1">
      <c r="A204" s="11" t="s">
        <v>121</v>
      </c>
      <c r="B204" s="58">
        <v>531032132.908</v>
      </c>
      <c r="C204" s="58">
        <f>+C205+C210</f>
        <v>464443327</v>
      </c>
      <c r="D204" s="58"/>
      <c r="E204" s="58"/>
      <c r="F204" s="58"/>
      <c r="G204" s="58"/>
      <c r="H204" s="58">
        <f>SUM(C204:G204)</f>
        <v>464443327</v>
      </c>
      <c r="I204" s="58"/>
      <c r="J204" s="58">
        <f>+I204+H204</f>
        <v>464443327</v>
      </c>
      <c r="K204" s="58">
        <f aca="true" t="shared" si="37" ref="K204:K213">+J204-B204</f>
        <v>-66588805.90799999</v>
      </c>
      <c r="L204" s="59">
        <f aca="true" t="shared" si="38" ref="L204:L213">_xlfn.IFERROR((J204/B204),0)</f>
        <v>0.8746049404894745</v>
      </c>
    </row>
    <row r="205" spans="1:12" s="64" customFormat="1" ht="15">
      <c r="A205" s="13" t="s">
        <v>39</v>
      </c>
      <c r="B205" s="72">
        <v>368676794.908</v>
      </c>
      <c r="C205" s="53">
        <f>+C206+C207+C208+C209</f>
        <v>367545220</v>
      </c>
      <c r="D205" s="77"/>
      <c r="E205" s="77"/>
      <c r="F205" s="77"/>
      <c r="G205" s="77"/>
      <c r="H205" s="72">
        <f aca="true" t="shared" si="39" ref="H205:H213">+C205+D205+E205+F205+G205</f>
        <v>367545220</v>
      </c>
      <c r="I205" s="77"/>
      <c r="J205" s="72">
        <f aca="true" t="shared" si="40" ref="J205:J213">+H205+I205</f>
        <v>367545220</v>
      </c>
      <c r="K205" s="72">
        <f t="shared" si="37"/>
        <v>-1131574.9079999924</v>
      </c>
      <c r="L205" s="73">
        <f t="shared" si="38"/>
        <v>0.9969307129615186</v>
      </c>
    </row>
    <row r="206" spans="1:12" s="64" customFormat="1" ht="15" hidden="1" outlineLevel="1">
      <c r="A206" s="20" t="s">
        <v>64</v>
      </c>
      <c r="B206" s="66">
        <v>130115940.90799999</v>
      </c>
      <c r="C206" s="69">
        <v>129828882</v>
      </c>
      <c r="D206" s="77"/>
      <c r="E206" s="77"/>
      <c r="F206" s="77"/>
      <c r="G206" s="77"/>
      <c r="H206" s="66">
        <f t="shared" si="39"/>
        <v>129828882</v>
      </c>
      <c r="I206" s="76"/>
      <c r="J206" s="66">
        <f t="shared" si="40"/>
        <v>129828882</v>
      </c>
      <c r="K206" s="66">
        <f t="shared" si="37"/>
        <v>-287058.90799999237</v>
      </c>
      <c r="L206" s="67">
        <f t="shared" si="38"/>
        <v>0.9977938221404942</v>
      </c>
    </row>
    <row r="207" spans="1:12" s="64" customFormat="1" ht="15" hidden="1" outlineLevel="1">
      <c r="A207" s="20" t="s">
        <v>144</v>
      </c>
      <c r="B207" s="66">
        <v>22187214</v>
      </c>
      <c r="C207" s="69">
        <v>22158691</v>
      </c>
      <c r="D207" s="77"/>
      <c r="E207" s="77"/>
      <c r="F207" s="77"/>
      <c r="G207" s="77"/>
      <c r="H207" s="66">
        <f t="shared" si="39"/>
        <v>22158691</v>
      </c>
      <c r="I207" s="76"/>
      <c r="J207" s="66">
        <f t="shared" si="40"/>
        <v>22158691</v>
      </c>
      <c r="K207" s="66">
        <f t="shared" si="37"/>
        <v>-28523</v>
      </c>
      <c r="L207" s="67">
        <f t="shared" si="38"/>
        <v>0.9987144397669757</v>
      </c>
    </row>
    <row r="208" spans="1:12" s="64" customFormat="1" ht="15" hidden="1" outlineLevel="1">
      <c r="A208" s="21" t="s">
        <v>82</v>
      </c>
      <c r="B208" s="66">
        <v>61351360</v>
      </c>
      <c r="C208" s="69">
        <v>60891030</v>
      </c>
      <c r="D208" s="77"/>
      <c r="E208" s="77"/>
      <c r="F208" s="77"/>
      <c r="G208" s="77"/>
      <c r="H208" s="66">
        <f t="shared" si="39"/>
        <v>60891030</v>
      </c>
      <c r="I208" s="76"/>
      <c r="J208" s="66">
        <f t="shared" si="40"/>
        <v>60891030</v>
      </c>
      <c r="K208" s="66">
        <f t="shared" si="37"/>
        <v>-460330</v>
      </c>
      <c r="L208" s="67">
        <f t="shared" si="38"/>
        <v>0.9924968248462626</v>
      </c>
    </row>
    <row r="209" spans="1:12" s="64" customFormat="1" ht="15" hidden="1" outlineLevel="1">
      <c r="A209" s="22" t="s">
        <v>91</v>
      </c>
      <c r="B209" s="66">
        <v>155022280</v>
      </c>
      <c r="C209" s="69">
        <v>154666617</v>
      </c>
      <c r="D209" s="77"/>
      <c r="E209" s="77"/>
      <c r="F209" s="77"/>
      <c r="G209" s="77"/>
      <c r="H209" s="66">
        <f t="shared" si="39"/>
        <v>154666617</v>
      </c>
      <c r="I209" s="76"/>
      <c r="J209" s="66">
        <f t="shared" si="40"/>
        <v>154666617</v>
      </c>
      <c r="K209" s="66">
        <f t="shared" si="37"/>
        <v>-355663</v>
      </c>
      <c r="L209" s="47">
        <f t="shared" si="38"/>
        <v>0.9977057297828416</v>
      </c>
    </row>
    <row r="210" spans="1:12" s="64" customFormat="1" ht="15" collapsed="1">
      <c r="A210" s="13" t="s">
        <v>145</v>
      </c>
      <c r="B210" s="72">
        <v>162355338</v>
      </c>
      <c r="C210" s="53">
        <f>+C211+C212+C213</f>
        <v>96898107</v>
      </c>
      <c r="D210" s="77"/>
      <c r="E210" s="77"/>
      <c r="F210" s="77"/>
      <c r="G210" s="77"/>
      <c r="H210" s="72">
        <f t="shared" si="39"/>
        <v>96898107</v>
      </c>
      <c r="I210" s="77"/>
      <c r="J210" s="72">
        <f t="shared" si="40"/>
        <v>96898107</v>
      </c>
      <c r="K210" s="72">
        <f t="shared" si="37"/>
        <v>-65457231</v>
      </c>
      <c r="L210" s="73">
        <f t="shared" si="38"/>
        <v>0.5968273553161523</v>
      </c>
    </row>
    <row r="211" spans="1:12" s="64" customFormat="1" ht="15" hidden="1" outlineLevel="1">
      <c r="A211" s="20" t="s">
        <v>185</v>
      </c>
      <c r="B211" s="66">
        <v>59215266</v>
      </c>
      <c r="C211" s="69">
        <v>34459833</v>
      </c>
      <c r="D211" s="77"/>
      <c r="E211" s="77"/>
      <c r="F211" s="77"/>
      <c r="G211" s="77"/>
      <c r="H211" s="66">
        <f t="shared" si="39"/>
        <v>34459833</v>
      </c>
      <c r="I211" s="76"/>
      <c r="J211" s="66">
        <f>+H211+I211</f>
        <v>34459833</v>
      </c>
      <c r="K211" s="66">
        <f t="shared" si="37"/>
        <v>-24755433</v>
      </c>
      <c r="L211" s="67">
        <f t="shared" si="38"/>
        <v>0.581941707396873</v>
      </c>
    </row>
    <row r="212" spans="1:12" s="64" customFormat="1" ht="15" hidden="1" outlineLevel="1">
      <c r="A212" s="21" t="s">
        <v>186</v>
      </c>
      <c r="B212" s="66">
        <v>103140072</v>
      </c>
      <c r="C212" s="69">
        <v>62438274</v>
      </c>
      <c r="D212" s="77"/>
      <c r="E212" s="77"/>
      <c r="F212" s="77"/>
      <c r="G212" s="77"/>
      <c r="H212" s="66">
        <f t="shared" si="39"/>
        <v>62438274</v>
      </c>
      <c r="I212" s="76"/>
      <c r="J212" s="66">
        <f>+H212+I212</f>
        <v>62438274</v>
      </c>
      <c r="K212" s="66">
        <f t="shared" si="37"/>
        <v>-40701798</v>
      </c>
      <c r="L212" s="67">
        <f t="shared" si="38"/>
        <v>0.605373573910245</v>
      </c>
    </row>
    <row r="213" spans="1:12" s="64" customFormat="1" ht="15" hidden="1" outlineLevel="1">
      <c r="A213" s="21" t="s">
        <v>241</v>
      </c>
      <c r="B213" s="66">
        <v>0</v>
      </c>
      <c r="C213" s="69"/>
      <c r="D213" s="77"/>
      <c r="E213" s="77"/>
      <c r="F213" s="77"/>
      <c r="G213" s="77"/>
      <c r="H213" s="66">
        <f t="shared" si="39"/>
        <v>0</v>
      </c>
      <c r="I213" s="76"/>
      <c r="J213" s="66">
        <f t="shared" si="40"/>
        <v>0</v>
      </c>
      <c r="K213" s="66">
        <f t="shared" si="37"/>
        <v>0</v>
      </c>
      <c r="L213" s="67">
        <f t="shared" si="38"/>
        <v>0</v>
      </c>
    </row>
    <row r="214" spans="1:12" s="64" customFormat="1" ht="15" collapsed="1">
      <c r="A214" s="8"/>
      <c r="B214" s="69"/>
      <c r="C214" s="69"/>
      <c r="D214" s="78"/>
      <c r="E214" s="78"/>
      <c r="F214" s="78"/>
      <c r="G214" s="78"/>
      <c r="H214" s="69"/>
      <c r="I214" s="79"/>
      <c r="J214" s="69"/>
      <c r="K214" s="69"/>
      <c r="L214" s="47"/>
    </row>
    <row r="215" spans="1:12" s="60" customFormat="1" ht="15">
      <c r="A215" s="11" t="s">
        <v>122</v>
      </c>
      <c r="B215" s="58">
        <v>981833760</v>
      </c>
      <c r="C215" s="58"/>
      <c r="D215" s="58"/>
      <c r="E215" s="58">
        <f>+E216+E222</f>
        <v>942535688</v>
      </c>
      <c r="F215" s="58"/>
      <c r="G215" s="58"/>
      <c r="H215" s="58">
        <f>SUM(C215:G215)</f>
        <v>942535688</v>
      </c>
      <c r="I215" s="58"/>
      <c r="J215" s="58">
        <f>+H215+I215</f>
        <v>942535688</v>
      </c>
      <c r="K215" s="58">
        <f aca="true" t="shared" si="41" ref="K215:K233">+J215-B215</f>
        <v>-39298072</v>
      </c>
      <c r="L215" s="59">
        <f aca="true" t="shared" si="42" ref="L215:L233">_xlfn.IFERROR((J215/B215),0)</f>
        <v>0.9599748209920995</v>
      </c>
    </row>
    <row r="216" spans="1:12" ht="15">
      <c r="A216" s="13" t="s">
        <v>149</v>
      </c>
      <c r="B216" s="61">
        <v>298600000</v>
      </c>
      <c r="C216" s="85"/>
      <c r="D216" s="85"/>
      <c r="E216" s="85">
        <f>+E217</f>
        <v>279828188</v>
      </c>
      <c r="F216" s="65"/>
      <c r="G216" s="55"/>
      <c r="H216" s="61">
        <f aca="true" t="shared" si="43" ref="H216:H233">+C216+D216+E216+F216+G216</f>
        <v>279828188</v>
      </c>
      <c r="I216" s="55"/>
      <c r="J216" s="61">
        <f aca="true" t="shared" si="44" ref="J216:J232">+I216+H216</f>
        <v>279828188</v>
      </c>
      <c r="K216" s="61">
        <f t="shared" si="41"/>
        <v>-18771812</v>
      </c>
      <c r="L216" s="63">
        <f t="shared" si="42"/>
        <v>0.9371339182853315</v>
      </c>
    </row>
    <row r="217" spans="1:12" ht="15">
      <c r="A217" s="13" t="s">
        <v>41</v>
      </c>
      <c r="B217" s="87">
        <v>298600000</v>
      </c>
      <c r="C217" s="85"/>
      <c r="D217" s="86"/>
      <c r="E217" s="87">
        <f>SUM(E218:E221)</f>
        <v>279828188</v>
      </c>
      <c r="F217" s="65"/>
      <c r="G217" s="76"/>
      <c r="H217" s="72">
        <f t="shared" si="43"/>
        <v>279828188</v>
      </c>
      <c r="I217" s="76"/>
      <c r="J217" s="87">
        <f t="shared" si="44"/>
        <v>279828188</v>
      </c>
      <c r="K217" s="87">
        <f t="shared" si="41"/>
        <v>-18771812</v>
      </c>
      <c r="L217" s="88">
        <f t="shared" si="42"/>
        <v>0.9371339182853315</v>
      </c>
    </row>
    <row r="218" spans="1:12" ht="15" hidden="1" outlineLevel="1">
      <c r="A218" s="15" t="s">
        <v>203</v>
      </c>
      <c r="B218" s="86">
        <v>198000000</v>
      </c>
      <c r="C218" s="85"/>
      <c r="D218" s="86"/>
      <c r="E218" s="69">
        <v>182180108</v>
      </c>
      <c r="F218" s="65"/>
      <c r="G218" s="76"/>
      <c r="H218" s="66">
        <f t="shared" si="43"/>
        <v>182180108</v>
      </c>
      <c r="I218" s="76"/>
      <c r="J218" s="117">
        <f t="shared" si="44"/>
        <v>182180108</v>
      </c>
      <c r="K218" s="117">
        <f t="shared" si="41"/>
        <v>-15819892</v>
      </c>
      <c r="L218" s="89">
        <f t="shared" si="42"/>
        <v>0.9201015555555555</v>
      </c>
    </row>
    <row r="219" spans="1:12" ht="15" hidden="1" outlineLevel="1">
      <c r="A219" s="15" t="s">
        <v>128</v>
      </c>
      <c r="B219" s="86">
        <v>80600000</v>
      </c>
      <c r="C219" s="85"/>
      <c r="D219" s="86"/>
      <c r="E219" s="90">
        <v>80600000</v>
      </c>
      <c r="F219" s="65"/>
      <c r="G219" s="76"/>
      <c r="H219" s="66">
        <f t="shared" si="43"/>
        <v>80600000</v>
      </c>
      <c r="I219" s="76"/>
      <c r="J219" s="117">
        <f t="shared" si="44"/>
        <v>80600000</v>
      </c>
      <c r="K219" s="117">
        <f t="shared" si="41"/>
        <v>0</v>
      </c>
      <c r="L219" s="89">
        <f t="shared" si="42"/>
        <v>1</v>
      </c>
    </row>
    <row r="220" spans="1:12" ht="15" hidden="1" outlineLevel="1">
      <c r="A220" s="15" t="s">
        <v>165</v>
      </c>
      <c r="B220" s="86">
        <v>5000000</v>
      </c>
      <c r="C220" s="85"/>
      <c r="D220" s="86"/>
      <c r="E220" s="90">
        <v>3464894</v>
      </c>
      <c r="F220" s="65"/>
      <c r="G220" s="76"/>
      <c r="H220" s="66">
        <f t="shared" si="43"/>
        <v>3464894</v>
      </c>
      <c r="I220" s="76"/>
      <c r="J220" s="117">
        <f t="shared" si="44"/>
        <v>3464894</v>
      </c>
      <c r="K220" s="117">
        <f t="shared" si="41"/>
        <v>-1535106</v>
      </c>
      <c r="L220" s="89">
        <f t="shared" si="42"/>
        <v>0.6929788</v>
      </c>
    </row>
    <row r="221" spans="1:12" ht="15" hidden="1" outlineLevel="1">
      <c r="A221" s="15" t="s">
        <v>166</v>
      </c>
      <c r="B221" s="86">
        <v>15000000</v>
      </c>
      <c r="C221" s="85"/>
      <c r="D221" s="86"/>
      <c r="E221" s="90">
        <v>13583186</v>
      </c>
      <c r="F221" s="65"/>
      <c r="G221" s="76"/>
      <c r="H221" s="66">
        <f t="shared" si="43"/>
        <v>13583186</v>
      </c>
      <c r="I221" s="76"/>
      <c r="J221" s="117">
        <f t="shared" si="44"/>
        <v>13583186</v>
      </c>
      <c r="K221" s="117">
        <f t="shared" si="41"/>
        <v>-1416814</v>
      </c>
      <c r="L221" s="89">
        <f t="shared" si="42"/>
        <v>0.9055457333333333</v>
      </c>
    </row>
    <row r="222" spans="1:12" ht="15" collapsed="1">
      <c r="A222" s="13" t="s">
        <v>150</v>
      </c>
      <c r="B222" s="87">
        <v>683233760</v>
      </c>
      <c r="C222" s="61"/>
      <c r="D222" s="61"/>
      <c r="E222" s="56">
        <f>+E223+E228</f>
        <v>662707500</v>
      </c>
      <c r="F222" s="55"/>
      <c r="G222" s="55"/>
      <c r="H222" s="61">
        <f t="shared" si="43"/>
        <v>662707500</v>
      </c>
      <c r="I222" s="77"/>
      <c r="J222" s="87">
        <f t="shared" si="44"/>
        <v>662707500</v>
      </c>
      <c r="K222" s="87">
        <f t="shared" si="41"/>
        <v>-20526260</v>
      </c>
      <c r="L222" s="88">
        <f t="shared" si="42"/>
        <v>0.9699571929817988</v>
      </c>
    </row>
    <row r="223" spans="1:12" ht="15">
      <c r="A223" s="44" t="s">
        <v>160</v>
      </c>
      <c r="B223" s="87">
        <v>308140000</v>
      </c>
      <c r="C223" s="61"/>
      <c r="D223" s="61"/>
      <c r="E223" s="61">
        <f>SUM(E224:E227)</f>
        <v>297552830</v>
      </c>
      <c r="F223" s="55"/>
      <c r="G223" s="55"/>
      <c r="H223" s="61">
        <f t="shared" si="43"/>
        <v>297552830</v>
      </c>
      <c r="I223" s="77"/>
      <c r="J223" s="87">
        <f t="shared" si="44"/>
        <v>297552830</v>
      </c>
      <c r="K223" s="87">
        <f t="shared" si="41"/>
        <v>-10587170</v>
      </c>
      <c r="L223" s="88">
        <f t="shared" si="42"/>
        <v>0.9656416888427338</v>
      </c>
    </row>
    <row r="224" spans="1:12" ht="15" hidden="1" outlineLevel="1">
      <c r="A224" s="17" t="s">
        <v>167</v>
      </c>
      <c r="B224" s="86">
        <v>50000000</v>
      </c>
      <c r="C224" s="61"/>
      <c r="D224" s="66"/>
      <c r="E224" s="66">
        <v>42226809</v>
      </c>
      <c r="F224" s="55"/>
      <c r="G224" s="55"/>
      <c r="H224" s="66">
        <f t="shared" si="43"/>
        <v>42226809</v>
      </c>
      <c r="I224" s="55"/>
      <c r="J224" s="117">
        <f t="shared" si="44"/>
        <v>42226809</v>
      </c>
      <c r="K224" s="117">
        <f t="shared" si="41"/>
        <v>-7773191</v>
      </c>
      <c r="L224" s="89">
        <f t="shared" si="42"/>
        <v>0.84453618</v>
      </c>
    </row>
    <row r="225" spans="1:12" ht="15" hidden="1" outlineLevel="1">
      <c r="A225" s="17" t="s">
        <v>129</v>
      </c>
      <c r="B225" s="86">
        <v>213000000</v>
      </c>
      <c r="C225" s="61"/>
      <c r="D225" s="66"/>
      <c r="E225" s="66">
        <v>211165982</v>
      </c>
      <c r="F225" s="55"/>
      <c r="G225" s="55"/>
      <c r="H225" s="66">
        <f t="shared" si="43"/>
        <v>211165982</v>
      </c>
      <c r="I225" s="55"/>
      <c r="J225" s="117">
        <f t="shared" si="44"/>
        <v>211165982</v>
      </c>
      <c r="K225" s="117">
        <f t="shared" si="41"/>
        <v>-1834018</v>
      </c>
      <c r="L225" s="89">
        <f t="shared" si="42"/>
        <v>0.9913895868544601</v>
      </c>
    </row>
    <row r="226" spans="1:12" ht="15" hidden="1" outlineLevel="1">
      <c r="A226" s="17" t="s">
        <v>130</v>
      </c>
      <c r="B226" s="86">
        <v>45000000</v>
      </c>
      <c r="C226" s="61"/>
      <c r="D226" s="66"/>
      <c r="E226" s="66">
        <v>44020039</v>
      </c>
      <c r="F226" s="55"/>
      <c r="G226" s="55"/>
      <c r="H226" s="66">
        <f t="shared" si="43"/>
        <v>44020039</v>
      </c>
      <c r="I226" s="55"/>
      <c r="J226" s="117">
        <f t="shared" si="44"/>
        <v>44020039</v>
      </c>
      <c r="K226" s="117">
        <f t="shared" si="41"/>
        <v>-979961</v>
      </c>
      <c r="L226" s="89">
        <f t="shared" si="42"/>
        <v>0.9782230888888889</v>
      </c>
    </row>
    <row r="227" spans="1:12" ht="15" hidden="1" outlineLevel="1">
      <c r="A227" s="17" t="s">
        <v>131</v>
      </c>
      <c r="B227" s="86">
        <v>140000</v>
      </c>
      <c r="C227" s="61"/>
      <c r="D227" s="66"/>
      <c r="E227" s="66">
        <v>140000</v>
      </c>
      <c r="F227" s="55"/>
      <c r="G227" s="55"/>
      <c r="H227" s="66">
        <f t="shared" si="43"/>
        <v>140000</v>
      </c>
      <c r="I227" s="55"/>
      <c r="J227" s="117">
        <f t="shared" si="44"/>
        <v>140000</v>
      </c>
      <c r="K227" s="117">
        <f t="shared" si="41"/>
        <v>0</v>
      </c>
      <c r="L227" s="89">
        <f t="shared" si="42"/>
        <v>1</v>
      </c>
    </row>
    <row r="228" spans="1:12" ht="15" collapsed="1">
      <c r="A228" s="18" t="s">
        <v>161</v>
      </c>
      <c r="B228" s="87">
        <v>375093760</v>
      </c>
      <c r="C228" s="61"/>
      <c r="D228" s="61"/>
      <c r="E228" s="61">
        <f>+E229+E230+E231+E233+E232</f>
        <v>365154670</v>
      </c>
      <c r="F228" s="55"/>
      <c r="G228" s="55"/>
      <c r="H228" s="61">
        <f t="shared" si="43"/>
        <v>365154670</v>
      </c>
      <c r="I228" s="77"/>
      <c r="J228" s="87">
        <f t="shared" si="44"/>
        <v>365154670</v>
      </c>
      <c r="K228" s="87">
        <f t="shared" si="41"/>
        <v>-9939090</v>
      </c>
      <c r="L228" s="88">
        <f t="shared" si="42"/>
        <v>0.9735023851103255</v>
      </c>
    </row>
    <row r="229" spans="1:12" ht="15" hidden="1" outlineLevel="1">
      <c r="A229" s="15" t="s">
        <v>132</v>
      </c>
      <c r="B229" s="86">
        <v>127650000</v>
      </c>
      <c r="C229" s="61"/>
      <c r="D229" s="66"/>
      <c r="E229" s="69">
        <v>121971947</v>
      </c>
      <c r="F229" s="55"/>
      <c r="G229" s="55"/>
      <c r="H229" s="66">
        <f t="shared" si="43"/>
        <v>121971947</v>
      </c>
      <c r="I229" s="55"/>
      <c r="J229" s="86">
        <f t="shared" si="44"/>
        <v>121971947</v>
      </c>
      <c r="K229" s="86">
        <f t="shared" si="41"/>
        <v>-5678053</v>
      </c>
      <c r="L229" s="89">
        <f t="shared" si="42"/>
        <v>0.9555185820603211</v>
      </c>
    </row>
    <row r="230" spans="1:12" ht="15" hidden="1" outlineLevel="1">
      <c r="A230" s="15" t="s">
        <v>133</v>
      </c>
      <c r="B230" s="86">
        <v>89493760</v>
      </c>
      <c r="C230" s="61"/>
      <c r="D230" s="66"/>
      <c r="E230" s="69">
        <v>88655457</v>
      </c>
      <c r="F230" s="55"/>
      <c r="G230" s="55"/>
      <c r="H230" s="66">
        <f t="shared" si="43"/>
        <v>88655457</v>
      </c>
      <c r="I230" s="55"/>
      <c r="J230" s="86">
        <f t="shared" si="44"/>
        <v>88655457</v>
      </c>
      <c r="K230" s="86">
        <f t="shared" si="41"/>
        <v>-838303</v>
      </c>
      <c r="L230" s="119">
        <f t="shared" si="42"/>
        <v>0.990632832948353</v>
      </c>
    </row>
    <row r="231" spans="1:12" ht="15" hidden="1" outlineLevel="1">
      <c r="A231" s="15" t="s">
        <v>134</v>
      </c>
      <c r="B231" s="86">
        <v>32150000</v>
      </c>
      <c r="C231" s="61"/>
      <c r="D231" s="66"/>
      <c r="E231" s="69">
        <v>32115436</v>
      </c>
      <c r="F231" s="55"/>
      <c r="G231" s="55"/>
      <c r="H231" s="66">
        <f t="shared" si="43"/>
        <v>32115436</v>
      </c>
      <c r="I231" s="55"/>
      <c r="J231" s="86">
        <f t="shared" si="44"/>
        <v>32115436</v>
      </c>
      <c r="K231" s="86">
        <f t="shared" si="41"/>
        <v>-34564</v>
      </c>
      <c r="L231" s="89">
        <f t="shared" si="42"/>
        <v>0.9989249144634526</v>
      </c>
    </row>
    <row r="232" spans="1:12" ht="15" hidden="1" outlineLevel="1">
      <c r="A232" s="15" t="s">
        <v>155</v>
      </c>
      <c r="B232" s="86">
        <v>40800000</v>
      </c>
      <c r="C232" s="61"/>
      <c r="D232" s="66"/>
      <c r="E232" s="69">
        <v>38574383</v>
      </c>
      <c r="F232" s="55"/>
      <c r="G232" s="55"/>
      <c r="H232" s="66">
        <f t="shared" si="43"/>
        <v>38574383</v>
      </c>
      <c r="I232" s="55"/>
      <c r="J232" s="86">
        <f t="shared" si="44"/>
        <v>38574383</v>
      </c>
      <c r="K232" s="86">
        <f t="shared" si="41"/>
        <v>-2225617</v>
      </c>
      <c r="L232" s="89">
        <f t="shared" si="42"/>
        <v>0.9454505637254902</v>
      </c>
    </row>
    <row r="233" spans="1:12" ht="15" hidden="1" outlineLevel="1">
      <c r="A233" s="15" t="s">
        <v>139</v>
      </c>
      <c r="B233" s="86">
        <v>85000000</v>
      </c>
      <c r="C233" s="61"/>
      <c r="D233" s="66"/>
      <c r="E233" s="69">
        <v>83837447</v>
      </c>
      <c r="F233" s="55"/>
      <c r="G233" s="55"/>
      <c r="H233" s="66">
        <f t="shared" si="43"/>
        <v>83837447</v>
      </c>
      <c r="I233" s="55"/>
      <c r="J233" s="86">
        <f>+I233+H233</f>
        <v>83837447</v>
      </c>
      <c r="K233" s="86">
        <f t="shared" si="41"/>
        <v>-1162553</v>
      </c>
      <c r="L233" s="89">
        <f t="shared" si="42"/>
        <v>0.9863229058823529</v>
      </c>
    </row>
    <row r="234" spans="1:12" ht="15" collapsed="1">
      <c r="A234" s="19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3"/>
    </row>
    <row r="235" spans="1:12" ht="15">
      <c r="A235" s="3" t="s">
        <v>40</v>
      </c>
      <c r="B235" s="56">
        <v>1901991798.5209603</v>
      </c>
      <c r="C235" s="51"/>
      <c r="D235" s="51"/>
      <c r="E235" s="51"/>
      <c r="F235" s="51"/>
      <c r="G235" s="54"/>
      <c r="H235" s="54"/>
      <c r="I235" s="56">
        <f>+I236+I237</f>
        <v>1906145608</v>
      </c>
      <c r="J235" s="56">
        <f>+I235+H235</f>
        <v>1906145608</v>
      </c>
      <c r="K235" s="56">
        <f>+J235-B235</f>
        <v>4153809.479039669</v>
      </c>
      <c r="L235" s="57">
        <f>_xlfn.IFERROR((J235/B235),0)</f>
        <v>1.002183926072799</v>
      </c>
    </row>
    <row r="236" spans="1:12" ht="15" customHeight="1" outlineLevel="1">
      <c r="A236" s="7" t="s">
        <v>140</v>
      </c>
      <c r="B236" s="69">
        <v>1188744873.8256001</v>
      </c>
      <c r="C236" s="51"/>
      <c r="D236" s="51"/>
      <c r="E236" s="51"/>
      <c r="F236" s="51"/>
      <c r="G236" s="54"/>
      <c r="H236" s="54"/>
      <c r="I236" s="69">
        <v>1191341006.5</v>
      </c>
      <c r="J236" s="69">
        <f>+I236+H236</f>
        <v>1191341006.5</v>
      </c>
      <c r="K236" s="69">
        <f>+J236-B236</f>
        <v>2596132.6743998528</v>
      </c>
      <c r="L236" s="47">
        <f>_xlfn.IFERROR((J236/B236),0)</f>
        <v>1.0021839275453992</v>
      </c>
    </row>
    <row r="237" spans="1:12" ht="14.25" outlineLevel="1">
      <c r="A237" s="7" t="s">
        <v>141</v>
      </c>
      <c r="B237" s="69">
        <v>713246924.6953601</v>
      </c>
      <c r="C237" s="51"/>
      <c r="D237" s="51"/>
      <c r="E237" s="51"/>
      <c r="F237" s="51"/>
      <c r="G237" s="54"/>
      <c r="H237" s="54"/>
      <c r="I237" s="69">
        <v>714804601.5</v>
      </c>
      <c r="J237" s="69">
        <f>+I237+H237</f>
        <v>714804601.5</v>
      </c>
      <c r="K237" s="69">
        <f>+J237-B237</f>
        <v>1557676.8046399355</v>
      </c>
      <c r="L237" s="47">
        <f>_xlfn.IFERROR((J237/B237),0)</f>
        <v>1.0021839236184653</v>
      </c>
    </row>
    <row r="238" spans="1:12" ht="15">
      <c r="A238" s="4"/>
      <c r="B238" s="54"/>
      <c r="C238" s="51"/>
      <c r="D238" s="51"/>
      <c r="E238" s="51"/>
      <c r="F238" s="51"/>
      <c r="G238" s="54"/>
      <c r="H238" s="54"/>
      <c r="I238" s="54"/>
      <c r="J238" s="54"/>
      <c r="K238" s="54"/>
      <c r="L238" s="52"/>
    </row>
    <row r="239" spans="1:12" ht="15">
      <c r="A239" s="45" t="s">
        <v>246</v>
      </c>
      <c r="B239" s="72">
        <v>6500000000</v>
      </c>
      <c r="C239" s="77"/>
      <c r="D239" s="53"/>
      <c r="E239" s="53"/>
      <c r="F239" s="53">
        <v>0</v>
      </c>
      <c r="G239" s="72"/>
      <c r="H239" s="72">
        <f>+C239+D239+E239+F239+G239</f>
        <v>0</v>
      </c>
      <c r="I239" s="77"/>
      <c r="J239" s="72">
        <f>+H239</f>
        <v>0</v>
      </c>
      <c r="K239" s="72">
        <v>-6500000000</v>
      </c>
      <c r="L239" s="73">
        <f>_xlfn.IFERROR((J239/B239),0)</f>
        <v>0</v>
      </c>
    </row>
    <row r="240" spans="1:12" ht="15">
      <c r="A240" s="12"/>
      <c r="B240" s="66"/>
      <c r="C240" s="62"/>
      <c r="D240" s="54"/>
      <c r="E240" s="54"/>
      <c r="F240" s="54"/>
      <c r="G240" s="65"/>
      <c r="H240" s="66"/>
      <c r="I240" s="76"/>
      <c r="J240" s="66"/>
      <c r="K240" s="66"/>
      <c r="L240" s="67"/>
    </row>
    <row r="241" spans="1:12" ht="15">
      <c r="A241" s="45" t="s">
        <v>44</v>
      </c>
      <c r="B241" s="53">
        <v>2373368524.121725</v>
      </c>
      <c r="C241" s="51"/>
      <c r="D241" s="51"/>
      <c r="E241" s="51"/>
      <c r="F241" s="51"/>
      <c r="G241" s="54"/>
      <c r="H241" s="56">
        <f>+C241+D241+F241+G241</f>
        <v>0</v>
      </c>
      <c r="I241" s="56">
        <f>+I242+I243</f>
        <v>0</v>
      </c>
      <c r="J241" s="56">
        <f>+I241+H241</f>
        <v>0</v>
      </c>
      <c r="K241" s="56">
        <f>+K242+K243</f>
        <v>-2373368524.121727</v>
      </c>
      <c r="L241" s="57">
        <f>_xlfn.IFERROR((J241/B241),0)</f>
        <v>0</v>
      </c>
    </row>
    <row r="242" spans="1:12" s="5" customFormat="1" ht="14.25" outlineLevel="1">
      <c r="A242" s="2" t="s">
        <v>66</v>
      </c>
      <c r="B242" s="54">
        <v>1793695927.6132278</v>
      </c>
      <c r="C242" s="51"/>
      <c r="D242" s="51"/>
      <c r="E242" s="51"/>
      <c r="F242" s="51"/>
      <c r="G242" s="54"/>
      <c r="H242" s="54">
        <f>+C242+D242+F242+G242</f>
        <v>0</v>
      </c>
      <c r="I242" s="65"/>
      <c r="J242" s="54">
        <f>+I242+H242</f>
        <v>0</v>
      </c>
      <c r="K242" s="54">
        <v>-1793695927.61323</v>
      </c>
      <c r="L242" s="52">
        <f>_xlfn.IFERROR((J242/B242),0)</f>
        <v>0</v>
      </c>
    </row>
    <row r="243" spans="1:12" s="5" customFormat="1" ht="14.25" outlineLevel="1">
      <c r="A243" s="2" t="s">
        <v>67</v>
      </c>
      <c r="B243" s="54">
        <v>579672596.5084972</v>
      </c>
      <c r="C243" s="51"/>
      <c r="D243" s="51"/>
      <c r="E243" s="51"/>
      <c r="F243" s="51"/>
      <c r="G243" s="54"/>
      <c r="H243" s="54">
        <f>+C243+D243+F243+G243</f>
        <v>0</v>
      </c>
      <c r="I243" s="54"/>
      <c r="J243" s="54">
        <f>+I243+H243</f>
        <v>0</v>
      </c>
      <c r="K243" s="54">
        <v>-579672596.508497</v>
      </c>
      <c r="L243" s="52">
        <f>_xlfn.IFERROR((J243/B243),0)</f>
        <v>0</v>
      </c>
    </row>
    <row r="244" spans="1:12" ht="15">
      <c r="A244" s="4"/>
      <c r="B244" s="54"/>
      <c r="C244" s="51"/>
      <c r="D244" s="51"/>
      <c r="E244" s="51"/>
      <c r="F244" s="51"/>
      <c r="G244" s="54"/>
      <c r="H244" s="54"/>
      <c r="I244" s="54"/>
      <c r="J244" s="54"/>
      <c r="K244" s="54"/>
      <c r="L244" s="52"/>
    </row>
    <row r="245" spans="1:12" ht="15">
      <c r="A245" s="4" t="s">
        <v>70</v>
      </c>
      <c r="B245" s="56">
        <v>30904900047.682808</v>
      </c>
      <c r="C245" s="56">
        <f>+C39+C37</f>
        <v>2642775799</v>
      </c>
      <c r="D245" s="56">
        <f>+D37+D39</f>
        <v>1542947346</v>
      </c>
      <c r="E245" s="56">
        <f>+E39+E37</f>
        <v>1152648117</v>
      </c>
      <c r="F245" s="56">
        <f>+F37+F39+F239</f>
        <v>6457992967.02</v>
      </c>
      <c r="G245" s="56">
        <f>+G39+G37</f>
        <v>6299427990</v>
      </c>
      <c r="H245" s="56">
        <f>+C245+D245+F245+G245+E245</f>
        <v>18095792219.02</v>
      </c>
      <c r="I245" s="56">
        <f>+I241+I235+I39+I37</f>
        <v>2682237957.48</v>
      </c>
      <c r="J245" s="56">
        <f>+J235+J239+J241+J39+J37</f>
        <v>20778030176.5</v>
      </c>
      <c r="K245" s="56">
        <f>+K235+K239+K241+K39+K37</f>
        <v>-10126869871.18281</v>
      </c>
      <c r="L245" s="57">
        <f>_xlfn.IFERROR((J245/B246),0)</f>
        <v>0.943104211991774</v>
      </c>
    </row>
    <row r="246" spans="1:12" ht="18.75" customHeight="1" thickBot="1">
      <c r="A246" s="9"/>
      <c r="B246" s="94">
        <f>+B245-B241-B239</f>
        <v>22031531523.56108</v>
      </c>
      <c r="C246" s="91"/>
      <c r="D246" s="92"/>
      <c r="E246" s="92"/>
      <c r="F246" s="93"/>
      <c r="G246" s="92"/>
      <c r="H246" s="92"/>
      <c r="I246" s="92"/>
      <c r="J246" s="92"/>
      <c r="K246" s="92"/>
      <c r="L246" s="95"/>
    </row>
    <row r="247" spans="1:12" ht="18.75" thickTop="1">
      <c r="A247" s="48" t="s">
        <v>250</v>
      </c>
      <c r="B247" s="99"/>
      <c r="C247" s="96"/>
      <c r="D247" s="97"/>
      <c r="E247" s="97"/>
      <c r="F247" s="97"/>
      <c r="G247" s="97"/>
      <c r="H247" s="97"/>
      <c r="I247" s="98"/>
      <c r="J247" s="98"/>
      <c r="K247" s="98"/>
      <c r="L247" s="99"/>
    </row>
    <row r="248" spans="1:12" ht="12.75">
      <c r="A248" s="100"/>
      <c r="B248" s="118"/>
      <c r="C248" s="97"/>
      <c r="D248" s="97"/>
      <c r="E248" s="97"/>
      <c r="F248" s="98"/>
      <c r="G248" s="97"/>
      <c r="H248" s="98"/>
      <c r="I248" s="98"/>
      <c r="J248" s="101"/>
      <c r="K248" s="101"/>
      <c r="L248" s="102"/>
    </row>
    <row r="249" spans="1:12" ht="12.75">
      <c r="A249" s="97"/>
      <c r="B249" s="98"/>
      <c r="C249" s="97"/>
      <c r="D249" s="97"/>
      <c r="E249" s="97"/>
      <c r="F249" s="97"/>
      <c r="G249" s="97"/>
      <c r="H249" s="97"/>
      <c r="I249" s="97"/>
      <c r="J249" s="101"/>
      <c r="K249" s="101"/>
      <c r="L249" s="102"/>
    </row>
    <row r="250" spans="1:12" ht="12.75">
      <c r="A250" s="97"/>
      <c r="B250" s="97"/>
      <c r="C250" s="97"/>
      <c r="D250" s="97"/>
      <c r="E250" s="97"/>
      <c r="F250" s="97"/>
      <c r="G250" s="97"/>
      <c r="H250" s="98"/>
      <c r="I250" s="98"/>
      <c r="J250" s="97"/>
      <c r="K250" s="97"/>
      <c r="L250" s="99"/>
    </row>
    <row r="251" spans="1:12" ht="12.7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9"/>
    </row>
    <row r="252" spans="1:12" ht="12.7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9"/>
    </row>
    <row r="253" spans="1:12" ht="12" customHeight="1">
      <c r="A253" s="97"/>
      <c r="B253" s="97"/>
      <c r="C253" s="97"/>
      <c r="D253" s="97"/>
      <c r="E253" s="97"/>
      <c r="F253" s="97"/>
      <c r="G253" s="97"/>
      <c r="H253" s="97"/>
      <c r="I253" s="103"/>
      <c r="J253" s="97"/>
      <c r="K253" s="97"/>
      <c r="L253" s="99"/>
    </row>
    <row r="254" spans="1:12" ht="12.7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9"/>
    </row>
    <row r="255" spans="1:12" ht="12.7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9"/>
    </row>
    <row r="256" spans="1:12" ht="12.7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9"/>
    </row>
    <row r="257" spans="1:12" ht="12.7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9"/>
    </row>
    <row r="258" spans="1:12" ht="12.7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9"/>
    </row>
    <row r="259" spans="1:12" ht="12.7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9"/>
    </row>
    <row r="260" spans="1:12" ht="12.7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9"/>
    </row>
    <row r="261" spans="1:12" ht="12.7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9"/>
    </row>
    <row r="262" spans="1:12" ht="12.7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9"/>
    </row>
    <row r="263" spans="1:12" ht="12.7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9"/>
    </row>
    <row r="264" spans="1:12" ht="12.7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9"/>
    </row>
    <row r="265" spans="1:12" ht="12.7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9"/>
    </row>
    <row r="266" spans="1:12" ht="12.7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9"/>
    </row>
    <row r="267" spans="1:12" ht="12.7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9"/>
    </row>
    <row r="268" spans="1:12" ht="12.7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9"/>
    </row>
    <row r="269" spans="1:12" ht="12.7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9"/>
    </row>
    <row r="270" spans="1:12" ht="12.7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9"/>
    </row>
    <row r="271" spans="1:12" ht="12.7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9"/>
    </row>
    <row r="272" spans="1:12" ht="12.7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9"/>
    </row>
    <row r="273" spans="1:12" ht="12.7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9"/>
    </row>
    <row r="274" spans="1:12" ht="12.7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9"/>
    </row>
    <row r="275" spans="1:12" ht="12.7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9"/>
    </row>
    <row r="276" spans="1:12" ht="12.7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9"/>
    </row>
    <row r="277" spans="1:12" ht="12.7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9"/>
    </row>
    <row r="278" spans="1:12" ht="12.7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9"/>
    </row>
    <row r="279" spans="1:12" ht="12.7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9"/>
    </row>
    <row r="280" spans="1:12" ht="12.7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9"/>
    </row>
    <row r="281" spans="1:12" ht="12.7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9"/>
    </row>
    <row r="282" spans="1:12" ht="12.7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9"/>
    </row>
    <row r="283" spans="1:12" ht="12.7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9"/>
    </row>
    <row r="284" spans="1:12" ht="12.7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9"/>
    </row>
    <row r="285" spans="1:12" ht="12.7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9"/>
    </row>
    <row r="286" spans="1:12" ht="12.7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9"/>
    </row>
    <row r="287" spans="1:12" ht="12.7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9"/>
    </row>
    <row r="288" spans="1:12" ht="12.7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9"/>
    </row>
    <row r="289" spans="1:12" ht="12.7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9"/>
    </row>
    <row r="290" spans="1:12" ht="12.7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9"/>
    </row>
    <row r="291" spans="1:12" ht="12.7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9"/>
    </row>
    <row r="292" spans="1:12" ht="12.7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9"/>
    </row>
    <row r="293" spans="1:12" ht="12.7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9"/>
    </row>
    <row r="294" spans="1:12" ht="12.7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9"/>
    </row>
    <row r="295" spans="1:12" ht="12.7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9"/>
    </row>
    <row r="296" spans="1:12" ht="12.7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9"/>
    </row>
    <row r="297" spans="1:12" ht="12.7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9"/>
    </row>
    <row r="298" spans="1:12" ht="12.7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9"/>
    </row>
    <row r="299" spans="1:12" ht="12.7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9"/>
    </row>
    <row r="300" spans="1:12" ht="12.7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9"/>
    </row>
    <row r="301" spans="1:12" ht="12.7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9"/>
    </row>
    <row r="302" spans="1:12" ht="12.7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9"/>
    </row>
    <row r="303" spans="1:12" ht="12.7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9"/>
    </row>
    <row r="304" spans="1:12" ht="12.7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9"/>
    </row>
    <row r="305" spans="1:12" ht="12.7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9"/>
    </row>
    <row r="306" spans="1:12" ht="12.7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9"/>
    </row>
    <row r="307" spans="1:12" ht="12.7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9"/>
    </row>
    <row r="308" spans="1:12" ht="12.7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9"/>
    </row>
    <row r="309" spans="1:12" ht="12.7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9"/>
    </row>
    <row r="310" spans="1:12" ht="12.7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9"/>
    </row>
    <row r="311" spans="1:12" ht="12.7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9"/>
    </row>
    <row r="312" spans="1:12" ht="12.7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9"/>
    </row>
    <row r="313" spans="1:12" ht="12.7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9"/>
    </row>
    <row r="314" spans="1:12" ht="12.7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9"/>
    </row>
    <row r="315" spans="1:12" ht="12.7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9"/>
    </row>
    <row r="316" spans="1:12" ht="12.7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9"/>
    </row>
    <row r="317" spans="1:12" ht="12.7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9"/>
    </row>
    <row r="318" spans="1:12" ht="12.7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9"/>
    </row>
    <row r="319" spans="1:12" ht="12.7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9"/>
    </row>
  </sheetData>
  <sheetProtection/>
  <mergeCells count="4">
    <mergeCell ref="A1:L1"/>
    <mergeCell ref="A2:L2"/>
    <mergeCell ref="A3:L3"/>
    <mergeCell ref="A4:L4"/>
  </mergeCells>
  <printOptions horizontalCentered="1"/>
  <pageMargins left="0" right="0" top="0" bottom="0" header="0" footer="0"/>
  <pageSetup fitToHeight="1" fitToWidth="1" horizontalDpi="600" verticalDpi="600" orientation="portrait" scale="40" r:id="rId1"/>
  <rowBreaks count="1" manualBreakCount="1">
    <brk id="247" max="8" man="1"/>
  </rowBreaks>
  <ignoredErrors>
    <ignoredError sqref="J84:J107 J129:J132 J128 J177:J185 J187:J200 J70 J72:J82 J135:J141 J148:J155 J167:J175 J203:J210 J213:J232 L138 L20 L38 L40 L47 L168 L195 L203 L214 L234 L238 L240 L244 J58:J63 J65:J68 J116:J127 J109:J113 J10:J56 J158:J161 J234 J238 J142 J240:J2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Fondo  Nal. de la Porcicultura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davidgomez</dc:creator>
  <cp:keywords/>
  <dc:description/>
  <cp:lastModifiedBy>Sandra Gonzalez</cp:lastModifiedBy>
  <cp:lastPrinted>2014-04-28T21:04:02Z</cp:lastPrinted>
  <dcterms:created xsi:type="dcterms:W3CDTF">2004-09-15T00:05:45Z</dcterms:created>
  <dcterms:modified xsi:type="dcterms:W3CDTF">2019-11-18T20:50:14Z</dcterms:modified>
  <cp:category/>
  <cp:version/>
  <cp:contentType/>
  <cp:contentStatus/>
</cp:coreProperties>
</file>