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491" windowWidth="7650" windowHeight="7785" activeTab="0"/>
  </bookViews>
  <sheets>
    <sheet name="INGRESOS" sheetId="1" r:id="rId1"/>
    <sheet name="Otros ingresos" sheetId="2" state="hidden" r:id="rId2"/>
    <sheet name="GASTOS" sheetId="3" state="hidden" r:id="rId3"/>
  </sheets>
  <externalReferences>
    <externalReference r:id="rId6"/>
  </externalReferences>
  <definedNames>
    <definedName name="_xlnm.Print_Area" localSheetId="0">'INGRESOS'!$A$1:$H$39</definedName>
    <definedName name="CABEZAS_PROYEC">'INGRESOS'!$C$46</definedName>
    <definedName name="EPPC">'INGRESOS'!$C$54</definedName>
    <definedName name="FOMENTO">'INGRESOS'!$C$53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'INGRESOS'!$A$1:$D$39</definedName>
    <definedName name="Z_4099E833_BB74_4680_85C9_A6CF399D1CE2_.wvu.PrintTitles" hidden="1">#REF!</definedName>
    <definedName name="Z_4099E833_BB74_4680_85C9_A6CF399D1CE2_.wvu.Rows" hidden="1">#REF!,#REF!</definedName>
  </definedNames>
  <calcPr fullCalcOnLoad="1"/>
</workbook>
</file>

<file path=xl/comments1.xml><?xml version="1.0" encoding="utf-8"?>
<comments xmlns="http://schemas.openxmlformats.org/spreadsheetml/2006/main">
  <authors>
    <author>martinezp</author>
    <author> </author>
  </authors>
  <commentList>
    <comment ref="C39" authorId="0">
      <text>
        <r>
          <rPr>
            <b/>
            <sz val="8"/>
            <rFont val="Tahoma"/>
            <family val="2"/>
          </rPr>
          <t>INGRESOS ACUERDO 10/10</t>
        </r>
        <r>
          <rPr>
            <sz val="8"/>
            <rFont val="Tahoma"/>
            <family val="2"/>
          </rPr>
          <t xml:space="preserve">
</t>
        </r>
      </text>
    </comment>
    <comment ref="F42" authorId="1">
      <text>
        <r>
          <rPr>
            <b/>
            <sz val="8"/>
            <rFont val="Tahoma"/>
            <family val="2"/>
          </rPr>
          <t>Este valor corresponde al total del gasto ejecutado en anexo 2 menos el total ejecutado de PPC menos el 25% de la cuota de administración, la cual es asumida por PPC</t>
        </r>
      </text>
    </comment>
    <comment ref="F46" authorId="1">
      <text>
        <r>
          <rPr>
            <b/>
            <sz val="8"/>
            <rFont val="Tahoma"/>
            <family val="2"/>
          </rPr>
          <t>Aquí estoy sumando el gasto del programa de ppc, con el 100% de lo presupuestado en gastos de personal y gastos generales</t>
        </r>
      </text>
    </comment>
    <comment ref="F13" authorId="1">
      <text>
        <r>
          <rPr>
            <b/>
            <sz val="8"/>
            <rFont val="Tahoma"/>
            <family val="0"/>
          </rPr>
          <t>CUENTAS DE COBRO FNP $425.701.208, PPC $8.567.070,  TOTAL $34.268.278
ING. REAL 2.369.556.654 
* REG. ING. II TRIMESTRE (SICE)</t>
        </r>
      </text>
    </comment>
  </commentList>
</comments>
</file>

<file path=xl/sharedStrings.xml><?xml version="1.0" encoding="utf-8"?>
<sst xmlns="http://schemas.openxmlformats.org/spreadsheetml/2006/main" count="264" uniqueCount="239">
  <si>
    <t>Gestión de transferencia de tecnología</t>
  </si>
  <si>
    <t>Prima legal</t>
  </si>
  <si>
    <t>Vacaciones</t>
  </si>
  <si>
    <t>Seguros y/o fondos privados</t>
  </si>
  <si>
    <t>Aportes ICBF y SENA</t>
  </si>
  <si>
    <t>Cesantías</t>
  </si>
  <si>
    <t>Intereses de cesantías</t>
  </si>
  <si>
    <t>Caja de compensación</t>
  </si>
  <si>
    <t>Administración del programa</t>
  </si>
  <si>
    <t>FORMALIDAD E INTEGRACIÓN</t>
  </si>
  <si>
    <t>Fortalecimiento institucional</t>
  </si>
  <si>
    <t>COMERCIALIZACIÓN</t>
  </si>
  <si>
    <t>PRODUCTIVIDAD DE EMPRESA</t>
  </si>
  <si>
    <t>Eficiencia sanitaria</t>
  </si>
  <si>
    <t>Capacitación y divulgación</t>
  </si>
  <si>
    <t>SUPERÁVIT VIGENCIAS ANTERIORES</t>
  </si>
  <si>
    <t>GASTOS DE FUNCIONAMIENTO</t>
  </si>
  <si>
    <t>TOTAL PROGRAMAS Y PROYECTOS</t>
  </si>
  <si>
    <t>ANEXO 1</t>
  </si>
  <si>
    <t>MINISTERIO DE AGRICULTURA  Y DESARROLLO RURAL</t>
  </si>
  <si>
    <t>Honorarios</t>
  </si>
  <si>
    <t>GASTOS GENERALES</t>
  </si>
  <si>
    <t xml:space="preserve">Mantenimiento </t>
  </si>
  <si>
    <t>Arriendos</t>
  </si>
  <si>
    <t>Correo</t>
  </si>
  <si>
    <t>TOTAL PRESUPUESTO</t>
  </si>
  <si>
    <t>CUENTAS</t>
  </si>
  <si>
    <t>Transportes, fletes y acarreos</t>
  </si>
  <si>
    <t>Muebles, equipos de oficina y software</t>
  </si>
  <si>
    <t>Aseo, vigilancia y cafetería</t>
  </si>
  <si>
    <t>Materiales y suministros</t>
  </si>
  <si>
    <t>Servicios públicos</t>
  </si>
  <si>
    <t>Seguros, impuestos y gastos legales</t>
  </si>
  <si>
    <t>Gastos comisión de fomento</t>
  </si>
  <si>
    <t>Comisiones y gastos bancarios</t>
  </si>
  <si>
    <t>Cuota auditaje CGR</t>
  </si>
  <si>
    <t>DIRECCIÓN DE PLANEACIÓN Y SEGUIMIENTO PRESUPUESTAL</t>
  </si>
  <si>
    <t>ERRADICACIÓN PPC</t>
  </si>
  <si>
    <t>MINISTERIO DE AGRICULTURA Y DESARROLLO RURAL</t>
  </si>
  <si>
    <t>CUOTA VIGENCIAS ANTERIORES</t>
  </si>
  <si>
    <t>FNP</t>
  </si>
  <si>
    <t>Rendimientos Financieros FNP</t>
  </si>
  <si>
    <t>Rendimientos Financieros PPC</t>
  </si>
  <si>
    <t>Extraordinarios FNP</t>
  </si>
  <si>
    <t>Financieros FNP</t>
  </si>
  <si>
    <t>Financieros PPC</t>
  </si>
  <si>
    <t>Venta de publicaciones y videos de capacitación</t>
  </si>
  <si>
    <t>Vigilancia epidemiológica - Carta de entendimiento 1</t>
  </si>
  <si>
    <t>Regionalización</t>
  </si>
  <si>
    <t>Administración de la base de datos</t>
  </si>
  <si>
    <t>Sistemas de información de mercados</t>
  </si>
  <si>
    <t>Fortalecimiento al recaudo</t>
  </si>
  <si>
    <t>RESERVA</t>
  </si>
  <si>
    <t>Diagnóstico rutinario</t>
  </si>
  <si>
    <t>PRESUPUESTO</t>
  </si>
  <si>
    <t>CUOTA DE ADMINISTRACIÓN</t>
  </si>
  <si>
    <t>INICIAL</t>
  </si>
  <si>
    <t>INGRESOS OPERACIONALES</t>
  </si>
  <si>
    <t>Cuota de Fomento</t>
  </si>
  <si>
    <t>Cuota de Erradicación Peste Porcina Clásica</t>
  </si>
  <si>
    <t>INGRESOS NO OPERACIONALES</t>
  </si>
  <si>
    <t>INGRESOS FINANCIEROS</t>
  </si>
  <si>
    <t>OTROS INGRESOS</t>
  </si>
  <si>
    <t>Ventas Programa PPC</t>
  </si>
  <si>
    <t>TOTAL INGRESOS</t>
  </si>
  <si>
    <t>Investigación</t>
  </si>
  <si>
    <t>Impresos y publicaciones</t>
  </si>
  <si>
    <t>GASTOS</t>
  </si>
  <si>
    <t xml:space="preserve">Capacitación </t>
  </si>
  <si>
    <t>MODIFICADO</t>
  </si>
  <si>
    <t xml:space="preserve">RESERVA FUTURAS INVERSIONES Y GASTOS </t>
  </si>
  <si>
    <t>Servicios de personal</t>
  </si>
  <si>
    <t>PPC</t>
  </si>
  <si>
    <t>SUBTOTAL GASTOS PERSONAL</t>
  </si>
  <si>
    <t>SUBTOTAL GASTOS GENERALES</t>
  </si>
  <si>
    <t>TOTAL FUNCIONAMIENTO</t>
  </si>
  <si>
    <t>INGRESOS</t>
  </si>
  <si>
    <t>PROGRAMAS ECONÓMICA</t>
  </si>
  <si>
    <t>PROGRAMAS TÉCNICA</t>
  </si>
  <si>
    <t>PROGRAMAS MERCADEO</t>
  </si>
  <si>
    <t>TOTAL INVERSIÓN</t>
  </si>
  <si>
    <t>GASTOS DE PERSONAL</t>
  </si>
  <si>
    <t xml:space="preserve">Dotación y suministro </t>
  </si>
  <si>
    <t>PROGRAMA PPC</t>
  </si>
  <si>
    <t>Sueldos</t>
  </si>
  <si>
    <t>Aislamiento y caracterización del virus de la PPC</t>
  </si>
  <si>
    <t>Detección de anticuerpos contra el virus de la PPC</t>
  </si>
  <si>
    <t xml:space="preserve">Monitoreo información de precios </t>
  </si>
  <si>
    <t>Programas y proyectos FNP</t>
  </si>
  <si>
    <t>Gastos de viaje</t>
  </si>
  <si>
    <t>Ciclos de vacunación</t>
  </si>
  <si>
    <t>Gestión Ambiental</t>
  </si>
  <si>
    <t>Centro de servicios técnicos y financieros</t>
  </si>
  <si>
    <t>COMSAC</t>
  </si>
  <si>
    <t>Participación en negociaciones</t>
  </si>
  <si>
    <t>Eventos investigativos</t>
  </si>
  <si>
    <t xml:space="preserve">  Home panel</t>
  </si>
  <si>
    <t xml:space="preserve">  Brand tracking - Brand equity</t>
  </si>
  <si>
    <t xml:space="preserve">CUOTA DE FOMENTO PORCÍCOLA </t>
  </si>
  <si>
    <t>Ingresos tarifas Centro de Servicios Técnicos y Financieros</t>
  </si>
  <si>
    <t>Herramientas del Centro de servicios</t>
  </si>
  <si>
    <t>Asesorías a pequeños productores</t>
  </si>
  <si>
    <t>Asesorías a medianos y grandes productores y grupos</t>
  </si>
  <si>
    <t>Actualización de información</t>
  </si>
  <si>
    <t>Auxilios de movilización de los coordinadores de recaudo</t>
  </si>
  <si>
    <t>Cuota de fomento porcícola</t>
  </si>
  <si>
    <t>Cuota de erradicación Peste Porcina Clásica</t>
  </si>
  <si>
    <t xml:space="preserve">TOTAL GASTOS </t>
  </si>
  <si>
    <t>INGRESOS EXTRAORDINARIOS FNP</t>
  </si>
  <si>
    <t>Intereses de Deudores</t>
  </si>
  <si>
    <t>Campaña de fomento al consumo</t>
  </si>
  <si>
    <t xml:space="preserve">   Material POP</t>
  </si>
  <si>
    <t>Divulgación sectorial</t>
  </si>
  <si>
    <t xml:space="preserve">   Pauta institucional</t>
  </si>
  <si>
    <t>ANEXO 2</t>
  </si>
  <si>
    <t>AÑO 2010</t>
  </si>
  <si>
    <t>INGRESOS PROGRAMAS Y PROYECTOS FNP</t>
  </si>
  <si>
    <t>TOTAL EXTRAORDINARIOS FNP</t>
  </si>
  <si>
    <t>TOTAL  PROGRAMAS Y PROYECTOS FNP</t>
  </si>
  <si>
    <t>Monitoreo serológico carta entendimiento No.3</t>
  </si>
  <si>
    <t>Carta de entendimiento No. 4</t>
  </si>
  <si>
    <t xml:space="preserve">  Monitoreo de Medios</t>
  </si>
  <si>
    <t xml:space="preserve">  Post test de campaña</t>
  </si>
  <si>
    <t xml:space="preserve">  Otras asesorias en BPM - Sello de Respaldo</t>
  </si>
  <si>
    <t xml:space="preserve">  Eventos entrega Sello de respaldo</t>
  </si>
  <si>
    <t xml:space="preserve">  Material de apoyo</t>
  </si>
  <si>
    <t xml:space="preserve">  Asesorias Nutricionistas</t>
  </si>
  <si>
    <t xml:space="preserve">  Asesorías Chef</t>
  </si>
  <si>
    <t xml:space="preserve">  Organizar y patrocinar eventos de salud</t>
  </si>
  <si>
    <t xml:space="preserve">   Feria de la carne de cerdo</t>
  </si>
  <si>
    <t xml:space="preserve">   Pauta Publicitaria</t>
  </si>
  <si>
    <t xml:space="preserve">   CRM - página web</t>
  </si>
  <si>
    <t xml:space="preserve">   Consultoría MESA</t>
  </si>
  <si>
    <t>Canales de comercialización</t>
  </si>
  <si>
    <t xml:space="preserve">Sensibilización a profesionales </t>
  </si>
  <si>
    <t>Proyecto IAT 1</t>
  </si>
  <si>
    <t>Proyecto IAT 2</t>
  </si>
  <si>
    <t>Proyecto IAT 1 - Productores</t>
  </si>
  <si>
    <t xml:space="preserve">Cadena porcícola </t>
  </si>
  <si>
    <t>Jornada de capacitación coordinadores</t>
  </si>
  <si>
    <t>Seguimiento recaudo regional</t>
  </si>
  <si>
    <t xml:space="preserve">   Kit publicitario</t>
  </si>
  <si>
    <t xml:space="preserve">   Estudios de prevalencia</t>
  </si>
  <si>
    <t xml:space="preserve">   Proyectos 2007</t>
  </si>
  <si>
    <t xml:space="preserve">   Proyectos 2008</t>
  </si>
  <si>
    <t xml:space="preserve">   Programa estrategico Ibeoroeka - colciencias</t>
  </si>
  <si>
    <t>Determinación de factores de riesgo</t>
  </si>
  <si>
    <t xml:space="preserve">  Asesores técnicos en calidad</t>
  </si>
  <si>
    <t xml:space="preserve">  Divulgación sello</t>
  </si>
  <si>
    <t xml:space="preserve">   Club Gourmet de la Carne de Cerdo</t>
  </si>
  <si>
    <t xml:space="preserve">   Agroexpo - Porcinino 2011 </t>
  </si>
  <si>
    <t>Porcinino</t>
  </si>
  <si>
    <t>Ecuación de magro 2011</t>
  </si>
  <si>
    <t>Comisión de Sacrificio - Trabajo con autoridades</t>
  </si>
  <si>
    <t xml:space="preserve">  Asesorías HACCP y BPM</t>
  </si>
  <si>
    <t xml:space="preserve">  Día Saludable con carne de cerdo</t>
  </si>
  <si>
    <t xml:space="preserve">   Concurso sabor innovador</t>
  </si>
  <si>
    <t>Comercialización y calidad</t>
  </si>
  <si>
    <t>Convenios CAR</t>
  </si>
  <si>
    <t>Proyecto IAT 2 - Productores</t>
  </si>
  <si>
    <t>PRESUPUESTO DE GASTOS DE FUNCIONAMIENTO E INVERSIÓN</t>
  </si>
  <si>
    <t>PRESUPUESTO ANUAL 2011</t>
  </si>
  <si>
    <t>ingresos fnp</t>
  </si>
  <si>
    <t>gastos fnp</t>
  </si>
  <si>
    <t>diferencia</t>
  </si>
  <si>
    <t>ingresos ppc</t>
  </si>
  <si>
    <t>gastos ppc</t>
  </si>
  <si>
    <t>Diagnostico de laboratorio PNMES</t>
  </si>
  <si>
    <t xml:space="preserve">  Como vender mas carne de cerdo</t>
  </si>
  <si>
    <t>% EJECUCIÓN</t>
  </si>
  <si>
    <t>TOTAL EJECUTADO</t>
  </si>
  <si>
    <t>Seminarios</t>
  </si>
  <si>
    <t>Aprovechamientos</t>
  </si>
  <si>
    <t>Reembolsos gastos de envio y ajuste de impuestos</t>
  </si>
  <si>
    <t xml:space="preserve">  Compra de biológico, chapetas y tenazas</t>
  </si>
  <si>
    <t xml:space="preserve">  Compra de materiales y dotaciones</t>
  </si>
  <si>
    <t xml:space="preserve">  Pago de auxilios de frío, flete y movilizaciones</t>
  </si>
  <si>
    <t xml:space="preserve">  Brigadas</t>
  </si>
  <si>
    <t xml:space="preserve">  Capacitación</t>
  </si>
  <si>
    <t xml:space="preserve">  Reunión Anual</t>
  </si>
  <si>
    <t xml:space="preserve">  Talleres de formación PPC</t>
  </si>
  <si>
    <t xml:space="preserve">  Asesoría internacional</t>
  </si>
  <si>
    <t xml:space="preserve">  Divulgación</t>
  </si>
  <si>
    <t xml:space="preserve">  Publicidad</t>
  </si>
  <si>
    <t xml:space="preserve">  Contratación de personal</t>
  </si>
  <si>
    <t xml:space="preserve">  Gastos de viaje</t>
  </si>
  <si>
    <t xml:space="preserve">  Auxilios de comités de ganaderos </t>
  </si>
  <si>
    <t xml:space="preserve">  Recolección de desechos biológicos</t>
  </si>
  <si>
    <t xml:space="preserve">  Logistica barridos</t>
  </si>
  <si>
    <t xml:space="preserve">  Servicios de diagnóstico</t>
  </si>
  <si>
    <t xml:space="preserve"> Carta de entendimiento No. 2 ICA</t>
  </si>
  <si>
    <t xml:space="preserve"> Laboratorios Privados </t>
  </si>
  <si>
    <t xml:space="preserve"> Carta de entendimiento No.3</t>
  </si>
  <si>
    <t xml:space="preserve">  Programa nacional de mejoramiento del estatus sanitario</t>
  </si>
  <si>
    <t xml:space="preserve"> Evaluación periódica de bioseguridad y sanidad</t>
  </si>
  <si>
    <t xml:space="preserve"> Diagnóstico de laboratorio PNMES</t>
  </si>
  <si>
    <t xml:space="preserve"> Reportes One Click y Benchmarking</t>
  </si>
  <si>
    <t xml:space="preserve"> Consultorias sanitarias</t>
  </si>
  <si>
    <t xml:space="preserve">  Convenio SENA -Seminario internacional de reproducción</t>
  </si>
  <si>
    <t xml:space="preserve">  Jornadas de costos y analisis en la produccion porcina</t>
  </si>
  <si>
    <t xml:space="preserve">  Planes de Acción CAR´s</t>
  </si>
  <si>
    <t xml:space="preserve">  Convenios CAR's</t>
  </si>
  <si>
    <t xml:space="preserve">  Investigación Impacto Salud Humana</t>
  </si>
  <si>
    <t xml:space="preserve">   Programa IAT 1</t>
  </si>
  <si>
    <t xml:space="preserve">     Contrapartida MADR</t>
  </si>
  <si>
    <t xml:space="preserve">     Contrapartida FNP - productores</t>
  </si>
  <si>
    <t xml:space="preserve">   Programa IAT 2</t>
  </si>
  <si>
    <t xml:space="preserve">  Material de apoyo y logistica capacitaciones</t>
  </si>
  <si>
    <t>ACUERDO No. 9/11</t>
  </si>
  <si>
    <t>EJECUCION TRIMESTRE ABRIL - JUNIO DE 2011</t>
  </si>
  <si>
    <t>Convenio Secretaría Desarrollo Económico</t>
  </si>
  <si>
    <t xml:space="preserve">  Convenio Secretaría Desarrollo Económico</t>
  </si>
  <si>
    <t>OTROS INGRESOS TRIMESTRE ABRIL - JUNIO 2011</t>
  </si>
  <si>
    <t>EJECUCIÓN TRIMESTRE ABRIL - JUNIO DE 2011</t>
  </si>
  <si>
    <t>PRESUPUESTO EJECUTADO ABR - JUN /11</t>
  </si>
  <si>
    <t>PRESUPUESTO SOLICITADO ABR - JUN/11</t>
  </si>
  <si>
    <t xml:space="preserve">  Estudio de Nielsen (LDSA)</t>
  </si>
  <si>
    <t>Monitoreo Serológico Programa IAT</t>
  </si>
  <si>
    <t>Asistencia técnica Proyecto IAT</t>
  </si>
  <si>
    <t>Precintos de Seguridad</t>
  </si>
  <si>
    <t>Sobrantes</t>
  </si>
  <si>
    <t>INGRESOS FINANCIEROS PPC</t>
  </si>
  <si>
    <t xml:space="preserve">Aprovechamientos </t>
  </si>
  <si>
    <t>Indemnizaciones</t>
  </si>
  <si>
    <t>Ajuste pago de Impuestos</t>
  </si>
  <si>
    <t>Otros Ingresos - Sanción 20% cheque devuelto por fondos</t>
  </si>
  <si>
    <t>Intereses de Mora</t>
  </si>
  <si>
    <t>Ajuste por diferencia en cambio</t>
  </si>
  <si>
    <t>INGRESOS FINANCIEROS FNP</t>
  </si>
  <si>
    <t>TOTAL FINANCIEROS PPC</t>
  </si>
  <si>
    <t>Intereses y rendimientos de deudas</t>
  </si>
  <si>
    <t>Intereses de mora</t>
  </si>
  <si>
    <t>sobrantes</t>
  </si>
  <si>
    <t>ajuste pago de impuestos</t>
  </si>
  <si>
    <t>ajuste por diferencia en cambio</t>
  </si>
  <si>
    <t>Arrendamientos</t>
  </si>
  <si>
    <t>Recuperaciones</t>
  </si>
  <si>
    <t>Convenio Secretaria de Desarrollo Económico</t>
  </si>
  <si>
    <t>Nómina IAT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</si>
</sst>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0\ _€_-;\-* #,##0.00\ _€_-;_-* &quot;-&quot;??\ _€_-;_-@_-"/>
    <numFmt numFmtId="187" formatCode="_ * #,##0_ ;_ * \-#,##0_ ;_ * &quot;-&quot;??_ ;_ @_ "/>
    <numFmt numFmtId="188" formatCode="0.0%"/>
    <numFmt numFmtId="189" formatCode="_(* #,##0_);_(* \(#,##0\);_(* &quot;-&quot;??_);_(@_)"/>
    <numFmt numFmtId="190" formatCode="_(* #,##0.000_);_(* \(#,##0.000\);_(* &quot;-&quot;??_);_(@_)"/>
    <numFmt numFmtId="191" formatCode="#,##0;[Red]#,##0"/>
    <numFmt numFmtId="192" formatCode="0.000%"/>
    <numFmt numFmtId="193" formatCode="&quot;$&quot;\ #,##0"/>
    <numFmt numFmtId="194" formatCode="_-* #,##0\ _€_-;\-* #,##0\ _€_-;_-* &quot;-&quot;??\ _€_-;_-@_-"/>
    <numFmt numFmtId="195" formatCode="_ &quot;$&quot;\ * #,##0_ ;_ &quot;$&quot;\ * \-#,##0_ ;_ &quot;$&quot;\ * &quot;-&quot;??_ ;_ @_ "/>
    <numFmt numFmtId="196" formatCode="[$$-240A]\ #,##0.00"/>
    <numFmt numFmtId="197" formatCode="0.0"/>
    <numFmt numFmtId="198" formatCode="[$$-240A]\ #,##0.0"/>
    <numFmt numFmtId="199" formatCode="0.0000"/>
    <numFmt numFmtId="200" formatCode="#,##0.00000"/>
    <numFmt numFmtId="201" formatCode="_ [$€-2]\ * #,##0.00_ ;_ [$€-2]\ * \-#,##0.00_ ;_ [$€-2]\ * &quot;-&quot;??_ "/>
    <numFmt numFmtId="202" formatCode="_-* #,##0_-;\-* #,##0_-;_-* &quot;-&quot;??_-;_-@_-"/>
    <numFmt numFmtId="203" formatCode="0.0000%"/>
    <numFmt numFmtId="204" formatCode="[$$-240A]\ #,##0.000"/>
    <numFmt numFmtId="205" formatCode="[$$-240A]\ #,##0"/>
    <numFmt numFmtId="206" formatCode="[$$-240A]\ #,##0.0000"/>
    <numFmt numFmtId="207" formatCode="_ * #,##0.0_ ;_ * \-#,##0.0_ ;_ * &quot;-&quot;??_ ;_ @_ "/>
    <numFmt numFmtId="208" formatCode="_ * #,##0.000_ ;_ * \-#,##0.000_ ;_ * &quot;-&quot;??_ ;_ @_ "/>
    <numFmt numFmtId="209" formatCode="_ * #,##0.0000_ ;_ * \-#,##0.0000_ ;_ * &quot;-&quot;??_ ;_ @_ "/>
    <numFmt numFmtId="210" formatCode="_-* #,##0.0_-;\-* #,##0.0_-;_-* &quot;-&quot;?_-;_-@_-"/>
    <numFmt numFmtId="211" formatCode="#,##0.000000"/>
    <numFmt numFmtId="212" formatCode="#,##0.0000000"/>
    <numFmt numFmtId="213" formatCode="#,##0.0000"/>
    <numFmt numFmtId="214" formatCode="#,##0.000"/>
    <numFmt numFmtId="215" formatCode="#,##0.0"/>
    <numFmt numFmtId="216" formatCode="_-* #,##0_-;\-* #,##0_-;_-* &quot;-&quot;?_-;_-@_-"/>
    <numFmt numFmtId="217" formatCode="#,##0.00000000"/>
    <numFmt numFmtId="218" formatCode="_ &quot;$&quot;\ * #,##0.000_ ;_ &quot;$&quot;\ * \-#,##0.000_ ;_ &quot;$&quot;\ * &quot;-&quot;??_ ;_ @_ "/>
    <numFmt numFmtId="219" formatCode="_ &quot;$&quot;\ * #,##0.0_ ;_ &quot;$&quot;\ * \-#,##0.0_ ;_ &quot;$&quot;\ * &quot;-&quot;??_ ;_ @_ "/>
    <numFmt numFmtId="220" formatCode="0.00000%"/>
    <numFmt numFmtId="221" formatCode="_-* #,##0\ _$_-;\-* #,##0\ _$_-;_-* &quot;-&quot;\ _$_-;_-@_-"/>
  </numFmts>
  <fonts count="5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sz val="8"/>
      <name val="Arial"/>
      <family val="2"/>
    </font>
    <font>
      <sz val="11"/>
      <name val="Comic Sans MS"/>
      <family val="4"/>
    </font>
    <font>
      <b/>
      <sz val="11"/>
      <name val="Comic Sans MS"/>
      <family val="4"/>
    </font>
    <font>
      <sz val="10"/>
      <color indexed="10"/>
      <name val="Comic Sans MS"/>
      <family val="4"/>
    </font>
    <font>
      <sz val="9"/>
      <color indexed="14"/>
      <name val="Times New Roman"/>
      <family val="1"/>
    </font>
    <font>
      <sz val="10"/>
      <color indexed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double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2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20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Alignment="1">
      <alignment/>
    </xf>
    <xf numFmtId="189" fontId="7" fillId="0" borderId="0" xfId="65" applyNumberFormat="1" applyFont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187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87" fontId="3" fillId="32" borderId="10" xfId="0" applyNumberFormat="1" applyFont="1" applyFill="1" applyBorder="1" applyAlignment="1">
      <alignment/>
    </xf>
    <xf numFmtId="187" fontId="0" fillId="0" borderId="10" xfId="51" applyNumberFormat="1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7" fontId="1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indent="1"/>
    </xf>
    <xf numFmtId="3" fontId="14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87" fontId="14" fillId="0" borderId="13" xfId="51" applyNumberFormat="1" applyFont="1" applyFill="1" applyBorder="1" applyAlignment="1">
      <alignment/>
    </xf>
    <xf numFmtId="189" fontId="1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87" fontId="1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9" fontId="4" fillId="0" borderId="0" xfId="65" applyNumberFormat="1" applyFont="1" applyFill="1" applyAlignment="1">
      <alignment/>
    </xf>
    <xf numFmtId="0" fontId="14" fillId="0" borderId="0" xfId="0" applyFont="1" applyFill="1" applyAlignment="1">
      <alignment horizontal="centerContinuous"/>
    </xf>
    <xf numFmtId="189" fontId="4" fillId="0" borderId="0" xfId="65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89" fontId="7" fillId="0" borderId="0" xfId="0" applyNumberFormat="1" applyFont="1" applyAlignment="1">
      <alignment/>
    </xf>
    <xf numFmtId="0" fontId="14" fillId="0" borderId="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0" fontId="4" fillId="0" borderId="14" xfId="0" applyFont="1" applyFill="1" applyBorder="1" applyAlignment="1">
      <alignment/>
    </xf>
    <xf numFmtId="187" fontId="4" fillId="0" borderId="13" xfId="51" applyNumberFormat="1" applyFont="1" applyFill="1" applyBorder="1" applyAlignment="1">
      <alignment/>
    </xf>
    <xf numFmtId="179" fontId="16" fillId="0" borderId="0" xfId="51" applyFont="1" applyFill="1" applyAlignment="1">
      <alignment/>
    </xf>
    <xf numFmtId="179" fontId="16" fillId="0" borderId="15" xfId="5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20" fillId="0" borderId="15" xfId="0" applyNumberFormat="1" applyFont="1" applyFill="1" applyBorder="1" applyAlignment="1">
      <alignment horizontal="centerContinuous"/>
    </xf>
    <xf numFmtId="0" fontId="14" fillId="0" borderId="1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0" fontId="0" fillId="0" borderId="0" xfId="72" applyNumberFormat="1" applyFont="1" applyFill="1" applyAlignment="1">
      <alignment/>
    </xf>
    <xf numFmtId="3" fontId="0" fillId="0" borderId="0" xfId="0" applyNumberFormat="1" applyFill="1" applyAlignment="1">
      <alignment/>
    </xf>
    <xf numFmtId="187" fontId="18" fillId="0" borderId="0" xfId="51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0" xfId="51" applyFont="1" applyFill="1" applyAlignment="1">
      <alignment/>
    </xf>
    <xf numFmtId="9" fontId="1" fillId="0" borderId="0" xfId="72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15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194" fontId="17" fillId="0" borderId="0" xfId="0" applyNumberFormat="1" applyFont="1" applyFill="1" applyAlignment="1">
      <alignment horizontal="right"/>
    </xf>
    <xf numFmtId="10" fontId="1" fillId="0" borderId="0" xfId="72" applyNumberFormat="1" applyFont="1" applyFill="1" applyAlignment="1">
      <alignment/>
    </xf>
    <xf numFmtId="187" fontId="0" fillId="33" borderId="10" xfId="51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187" fontId="0" fillId="0" borderId="0" xfId="51" applyNumberFormat="1" applyFont="1" applyFill="1" applyAlignment="1">
      <alignment/>
    </xf>
    <xf numFmtId="37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189" fontId="14" fillId="0" borderId="21" xfId="65" applyNumberFormat="1" applyFont="1" applyFill="1" applyBorder="1" applyAlignment="1">
      <alignment horizontal="center"/>
    </xf>
    <xf numFmtId="189" fontId="14" fillId="0" borderId="22" xfId="65" applyNumberFormat="1" applyFont="1" applyFill="1" applyBorder="1" applyAlignment="1">
      <alignment horizontal="center"/>
    </xf>
    <xf numFmtId="189" fontId="14" fillId="0" borderId="23" xfId="65" applyNumberFormat="1" applyFont="1" applyFill="1" applyBorder="1" applyAlignment="1">
      <alignment horizontal="center"/>
    </xf>
    <xf numFmtId="189" fontId="14" fillId="0" borderId="24" xfId="65" applyNumberFormat="1" applyFont="1" applyFill="1" applyBorder="1" applyAlignment="1">
      <alignment horizontal="center"/>
    </xf>
    <xf numFmtId="189" fontId="14" fillId="0" borderId="25" xfId="65" applyNumberFormat="1" applyFont="1" applyFill="1" applyBorder="1" applyAlignment="1">
      <alignment horizontal="center"/>
    </xf>
    <xf numFmtId="189" fontId="14" fillId="0" borderId="26" xfId="65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189" fontId="14" fillId="0" borderId="28" xfId="65" applyNumberFormat="1" applyFont="1" applyFill="1" applyBorder="1" applyAlignment="1">
      <alignment horizontal="center"/>
    </xf>
    <xf numFmtId="189" fontId="14" fillId="0" borderId="29" xfId="65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187" fontId="4" fillId="0" borderId="31" xfId="64" applyNumberFormat="1" applyFont="1" applyFill="1" applyBorder="1" applyAlignment="1">
      <alignment/>
    </xf>
    <xf numFmtId="187" fontId="4" fillId="0" borderId="32" xfId="64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189" fontId="14" fillId="0" borderId="34" xfId="65" applyNumberFormat="1" applyFont="1" applyFill="1" applyBorder="1" applyAlignment="1">
      <alignment/>
    </xf>
    <xf numFmtId="189" fontId="14" fillId="0" borderId="35" xfId="65" applyNumberFormat="1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14" fillId="0" borderId="30" xfId="0" applyFont="1" applyFill="1" applyBorder="1" applyAlignment="1">
      <alignment/>
    </xf>
    <xf numFmtId="187" fontId="14" fillId="0" borderId="31" xfId="64" applyNumberFormat="1" applyFont="1" applyFill="1" applyBorder="1" applyAlignment="1">
      <alignment/>
    </xf>
    <xf numFmtId="187" fontId="14" fillId="0" borderId="32" xfId="64" applyNumberFormat="1" applyFont="1" applyFill="1" applyBorder="1" applyAlignment="1">
      <alignment/>
    </xf>
    <xf numFmtId="187" fontId="4" fillId="0" borderId="31" xfId="72" applyNumberFormat="1" applyFont="1" applyFill="1" applyBorder="1" applyAlignment="1">
      <alignment/>
    </xf>
    <xf numFmtId="187" fontId="4" fillId="0" borderId="32" xfId="72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187" fontId="4" fillId="0" borderId="37" xfId="64" applyNumberFormat="1" applyFont="1" applyFill="1" applyBorder="1" applyAlignment="1">
      <alignment/>
    </xf>
    <xf numFmtId="187" fontId="4" fillId="0" borderId="38" xfId="64" applyNumberFormat="1" applyFont="1" applyFill="1" applyBorder="1" applyAlignment="1">
      <alignment/>
    </xf>
    <xf numFmtId="0" fontId="14" fillId="0" borderId="39" xfId="0" applyFont="1" applyFill="1" applyBorder="1" applyAlignment="1">
      <alignment/>
    </xf>
    <xf numFmtId="187" fontId="14" fillId="0" borderId="40" xfId="0" applyNumberFormat="1" applyFont="1" applyFill="1" applyBorder="1" applyAlignment="1">
      <alignment/>
    </xf>
    <xf numFmtId="187" fontId="14" fillId="0" borderId="41" xfId="0" applyNumberFormat="1" applyFont="1" applyFill="1" applyBorder="1" applyAlignment="1">
      <alignment/>
    </xf>
    <xf numFmtId="178" fontId="1" fillId="0" borderId="0" xfId="66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189" fontId="14" fillId="0" borderId="42" xfId="65" applyNumberFormat="1" applyFont="1" applyFill="1" applyBorder="1" applyAlignment="1">
      <alignment horizontal="center"/>
    </xf>
    <xf numFmtId="187" fontId="4" fillId="0" borderId="43" xfId="64" applyNumberFormat="1" applyFont="1" applyFill="1" applyBorder="1" applyAlignment="1">
      <alignment/>
    </xf>
    <xf numFmtId="187" fontId="14" fillId="0" borderId="43" xfId="64" applyNumberFormat="1" applyFont="1" applyFill="1" applyBorder="1" applyAlignment="1">
      <alignment/>
    </xf>
    <xf numFmtId="187" fontId="4" fillId="0" borderId="43" xfId="72" applyNumberFormat="1" applyFont="1" applyFill="1" applyBorder="1" applyAlignment="1">
      <alignment/>
    </xf>
    <xf numFmtId="187" fontId="4" fillId="0" borderId="44" xfId="64" applyNumberFormat="1" applyFont="1" applyFill="1" applyBorder="1" applyAlignment="1">
      <alignment/>
    </xf>
    <xf numFmtId="187" fontId="0" fillId="34" borderId="10" xfId="51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4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215" fontId="7" fillId="0" borderId="0" xfId="0" applyNumberFormat="1" applyFont="1" applyAlignment="1">
      <alignment/>
    </xf>
    <xf numFmtId="3" fontId="7" fillId="0" borderId="45" xfId="0" applyNumberFormat="1" applyFont="1" applyBorder="1" applyAlignment="1">
      <alignment/>
    </xf>
    <xf numFmtId="0" fontId="0" fillId="35" borderId="46" xfId="0" applyFont="1" applyFill="1" applyBorder="1" applyAlignment="1">
      <alignment horizontal="left" wrapText="1"/>
    </xf>
    <xf numFmtId="0" fontId="0" fillId="35" borderId="47" xfId="0" applyFont="1" applyFill="1" applyBorder="1" applyAlignment="1">
      <alignment horizontal="left" wrapText="1"/>
    </xf>
    <xf numFmtId="187" fontId="0" fillId="35" borderId="10" xfId="51" applyNumberFormat="1" applyFont="1" applyFill="1" applyBorder="1" applyAlignment="1">
      <alignment/>
    </xf>
    <xf numFmtId="189" fontId="14" fillId="0" borderId="48" xfId="65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187" fontId="14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187" fontId="4" fillId="0" borderId="13" xfId="51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43" fontId="4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187" fontId="4" fillId="0" borderId="13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left" indent="1"/>
    </xf>
    <xf numFmtId="0" fontId="4" fillId="0" borderId="49" xfId="0" applyFont="1" applyFill="1" applyBorder="1" applyAlignment="1">
      <alignment horizontal="left" indent="1"/>
    </xf>
    <xf numFmtId="37" fontId="4" fillId="0" borderId="11" xfId="0" applyNumberFormat="1" applyFont="1" applyFill="1" applyBorder="1" applyAlignment="1">
      <alignment horizontal="left"/>
    </xf>
    <xf numFmtId="37" fontId="14" fillId="0" borderId="11" xfId="0" applyNumberFormat="1" applyFont="1" applyFill="1" applyBorder="1" applyAlignment="1">
      <alignment horizontal="left"/>
    </xf>
    <xf numFmtId="37" fontId="14" fillId="0" borderId="11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46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9" fontId="4" fillId="0" borderId="43" xfId="72" applyFont="1" applyFill="1" applyBorder="1" applyAlignment="1">
      <alignment/>
    </xf>
    <xf numFmtId="9" fontId="14" fillId="0" borderId="48" xfId="72" applyFont="1" applyFill="1" applyBorder="1" applyAlignment="1">
      <alignment/>
    </xf>
    <xf numFmtId="9" fontId="4" fillId="0" borderId="44" xfId="72" applyFont="1" applyFill="1" applyBorder="1" applyAlignment="1">
      <alignment/>
    </xf>
    <xf numFmtId="9" fontId="4" fillId="0" borderId="48" xfId="72" applyFont="1" applyFill="1" applyBorder="1" applyAlignment="1">
      <alignment/>
    </xf>
    <xf numFmtId="9" fontId="14" fillId="0" borderId="14" xfId="72" applyNumberFormat="1" applyFont="1" applyFill="1" applyBorder="1" applyAlignment="1">
      <alignment/>
    </xf>
    <xf numFmtId="9" fontId="4" fillId="0" borderId="14" xfId="72" applyNumberFormat="1" applyFont="1" applyFill="1" applyBorder="1" applyAlignment="1">
      <alignment/>
    </xf>
    <xf numFmtId="37" fontId="14" fillId="0" borderId="11" xfId="0" applyNumberFormat="1" applyFont="1" applyFill="1" applyBorder="1" applyAlignment="1">
      <alignment horizontal="left"/>
    </xf>
    <xf numFmtId="187" fontId="14" fillId="0" borderId="13" xfId="51" applyNumberFormat="1" applyFont="1" applyFill="1" applyBorder="1" applyAlignment="1">
      <alignment/>
    </xf>
    <xf numFmtId="9" fontId="14" fillId="0" borderId="41" xfId="72" applyNumberFormat="1" applyFont="1" applyFill="1" applyBorder="1" applyAlignment="1">
      <alignment/>
    </xf>
    <xf numFmtId="3" fontId="14" fillId="36" borderId="13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14" fillId="36" borderId="13" xfId="0" applyNumberFormat="1" applyFont="1" applyFill="1" applyBorder="1" applyAlignment="1">
      <alignment/>
    </xf>
    <xf numFmtId="9" fontId="4" fillId="0" borderId="42" xfId="72" applyFont="1" applyFill="1" applyBorder="1" applyAlignment="1">
      <alignment/>
    </xf>
    <xf numFmtId="221" fontId="4" fillId="0" borderId="43" xfId="64" applyNumberFormat="1" applyFont="1" applyFill="1" applyBorder="1" applyAlignment="1">
      <alignment/>
    </xf>
    <xf numFmtId="221" fontId="14" fillId="0" borderId="43" xfId="64" applyNumberFormat="1" applyFont="1" applyFill="1" applyBorder="1" applyAlignment="1">
      <alignment/>
    </xf>
    <xf numFmtId="221" fontId="4" fillId="0" borderId="43" xfId="72" applyNumberFormat="1" applyFont="1" applyFill="1" applyBorder="1" applyAlignment="1">
      <alignment/>
    </xf>
    <xf numFmtId="221" fontId="4" fillId="36" borderId="44" xfId="64" applyNumberFormat="1" applyFont="1" applyFill="1" applyBorder="1" applyAlignment="1">
      <alignment/>
    </xf>
    <xf numFmtId="221" fontId="4" fillId="0" borderId="44" xfId="64" applyNumberFormat="1" applyFont="1" applyFill="1" applyBorder="1" applyAlignment="1">
      <alignment/>
    </xf>
    <xf numFmtId="221" fontId="14" fillId="0" borderId="41" xfId="0" applyNumberFormat="1" applyFont="1" applyFill="1" applyBorder="1" applyAlignment="1">
      <alignment/>
    </xf>
    <xf numFmtId="189" fontId="4" fillId="0" borderId="48" xfId="65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34" borderId="46" xfId="0" applyFont="1" applyFill="1" applyBorder="1" applyAlignment="1">
      <alignment horizontal="left" wrapText="1"/>
    </xf>
    <xf numFmtId="0" fontId="0" fillId="34" borderId="47" xfId="0" applyFont="1" applyFill="1" applyBorder="1" applyAlignment="1">
      <alignment horizontal="left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35" borderId="46" xfId="0" applyFont="1" applyFill="1" applyBorder="1" applyAlignment="1">
      <alignment horizontal="left" wrapText="1"/>
    </xf>
    <xf numFmtId="0" fontId="0" fillId="35" borderId="47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0" fontId="3" fillId="37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40% - Énfšsis3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4 2" xfId="57"/>
    <cellStyle name="Millares 5" xfId="58"/>
    <cellStyle name="Millares 6" xfId="59"/>
    <cellStyle name="Millares 7" xfId="60"/>
    <cellStyle name="Millares 7 2" xfId="61"/>
    <cellStyle name="Millares 8" xfId="62"/>
    <cellStyle name="Millares 9" xfId="63"/>
    <cellStyle name="Millares_Formato Presupuesto Minagricultura" xfId="64"/>
    <cellStyle name="Millares_INGRESOS 2005" xfId="65"/>
    <cellStyle name="Currency" xfId="66"/>
    <cellStyle name="Currency [0]" xfId="67"/>
    <cellStyle name="Moneda 2" xfId="68"/>
    <cellStyle name="Neutral" xfId="69"/>
    <cellStyle name="Normal 2" xfId="70"/>
    <cellStyle name="Notas" xfId="71"/>
    <cellStyle name="Percent" xfId="72"/>
    <cellStyle name="Porcentual 2" xfId="73"/>
    <cellStyle name="Porcentual 2 2" xfId="74"/>
    <cellStyle name="Porcentual 3" xfId="75"/>
    <cellStyle name="Porcentual 3 2" xfId="76"/>
    <cellStyle name="Porcentual 4" xfId="77"/>
    <cellStyle name="Porcentual 5" xfId="78"/>
    <cellStyle name="Porcentual 6" xfId="79"/>
    <cellStyle name="Porcentual 6 2" xfId="80"/>
    <cellStyle name="Porcentual 7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EXO%20ACUERDO%201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Anexo 2 "/>
      <sheetName val="Inversión total en programas"/>
      <sheetName val="MODELO CONTRATISTAS"/>
      <sheetName val="Servicios personal 2005"/>
      <sheetName val="Nómina 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7"/>
  <sheetViews>
    <sheetView tabSelected="1" view="pageBreakPreview" zoomScale="75" zoomScaleNormal="75" zoomScaleSheetLayoutView="75" zoomScalePageLayoutView="0" workbookViewId="0" topLeftCell="A1">
      <pane xSplit="1" ySplit="10" topLeftCell="D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19" sqref="J19"/>
    </sheetView>
  </sheetViews>
  <sheetFormatPr defaultColWidth="11.421875" defaultRowHeight="12.75"/>
  <cols>
    <col min="1" max="1" width="43.57421875" style="1" customWidth="1"/>
    <col min="2" max="2" width="21.00390625" style="2" hidden="1" customWidth="1"/>
    <col min="3" max="3" width="25.140625" style="2" hidden="1" customWidth="1"/>
    <col min="4" max="4" width="27.140625" style="1" hidden="1" customWidth="1"/>
    <col min="5" max="6" width="19.7109375" style="1" customWidth="1"/>
    <col min="7" max="7" width="20.7109375" style="1" customWidth="1"/>
    <col min="8" max="8" width="12.421875" style="1" customWidth="1"/>
    <col min="9" max="9" width="12.57421875" style="1" bestFit="1" customWidth="1"/>
    <col min="10" max="10" width="16.140625" style="1" bestFit="1" customWidth="1"/>
    <col min="11" max="11" width="12.00390625" style="1" bestFit="1" customWidth="1"/>
    <col min="12" max="12" width="11.8515625" style="1" bestFit="1" customWidth="1"/>
    <col min="13" max="13" width="12.00390625" style="1" bestFit="1" customWidth="1"/>
    <col min="14" max="16384" width="11.421875" style="1" customWidth="1"/>
  </cols>
  <sheetData>
    <row r="1" spans="1:8" ht="15">
      <c r="A1" s="36"/>
      <c r="B1" s="37"/>
      <c r="C1" s="37"/>
      <c r="D1" s="36"/>
      <c r="E1" s="36"/>
      <c r="F1" s="36"/>
      <c r="G1" s="36"/>
      <c r="H1" s="36"/>
    </row>
    <row r="2" spans="1:8" ht="15">
      <c r="A2" s="178" t="s">
        <v>38</v>
      </c>
      <c r="B2" s="178"/>
      <c r="C2" s="178"/>
      <c r="D2" s="178"/>
      <c r="E2" s="178"/>
      <c r="F2" s="178"/>
      <c r="G2" s="178"/>
      <c r="H2" s="178"/>
    </row>
    <row r="3" spans="1:8" ht="15">
      <c r="A3" s="178" t="s">
        <v>36</v>
      </c>
      <c r="B3" s="178"/>
      <c r="C3" s="178"/>
      <c r="D3" s="178"/>
      <c r="E3" s="178"/>
      <c r="F3" s="178"/>
      <c r="G3" s="178"/>
      <c r="H3" s="178"/>
    </row>
    <row r="4" spans="1:8" ht="15">
      <c r="A4" s="178" t="s">
        <v>213</v>
      </c>
      <c r="B4" s="178"/>
      <c r="C4" s="178"/>
      <c r="D4" s="178"/>
      <c r="E4" s="178"/>
      <c r="F4" s="178"/>
      <c r="G4" s="178"/>
      <c r="H4" s="178"/>
    </row>
    <row r="5" spans="1:8" ht="15">
      <c r="A5" s="38"/>
      <c r="B5" s="39"/>
      <c r="C5" s="39"/>
      <c r="D5" s="40"/>
      <c r="E5" s="40"/>
      <c r="F5" s="40"/>
      <c r="G5" s="40"/>
      <c r="H5" s="40"/>
    </row>
    <row r="6" spans="1:8" ht="15">
      <c r="A6" s="179" t="s">
        <v>18</v>
      </c>
      <c r="B6" s="179"/>
      <c r="C6" s="179"/>
      <c r="D6" s="179"/>
      <c r="E6" s="179"/>
      <c r="F6" s="179"/>
      <c r="G6" s="179"/>
      <c r="H6" s="179"/>
    </row>
    <row r="7" spans="1:8" ht="15.75" thickBot="1">
      <c r="A7" s="34"/>
      <c r="B7" s="34"/>
      <c r="C7" s="34"/>
      <c r="D7" s="34"/>
      <c r="E7" s="34"/>
      <c r="F7" s="34"/>
      <c r="G7" s="34"/>
      <c r="H7" s="34"/>
    </row>
    <row r="8" spans="1:8" ht="45" customHeight="1">
      <c r="A8" s="183" t="s">
        <v>26</v>
      </c>
      <c r="B8" s="92" t="s">
        <v>54</v>
      </c>
      <c r="C8" s="93" t="s">
        <v>54</v>
      </c>
      <c r="D8" s="180" t="s">
        <v>161</v>
      </c>
      <c r="E8" s="180" t="s">
        <v>215</v>
      </c>
      <c r="F8" s="180" t="s">
        <v>214</v>
      </c>
      <c r="G8" s="180" t="s">
        <v>208</v>
      </c>
      <c r="H8" s="180" t="s">
        <v>169</v>
      </c>
    </row>
    <row r="9" spans="1:8" ht="15">
      <c r="A9" s="184"/>
      <c r="B9" s="94" t="s">
        <v>56</v>
      </c>
      <c r="C9" s="95" t="s">
        <v>69</v>
      </c>
      <c r="D9" s="181"/>
      <c r="E9" s="181"/>
      <c r="F9" s="181"/>
      <c r="G9" s="181"/>
      <c r="H9" s="181"/>
    </row>
    <row r="10" spans="1:8" ht="15.75" thickBot="1">
      <c r="A10" s="185"/>
      <c r="B10" s="96" t="s">
        <v>115</v>
      </c>
      <c r="C10" s="97" t="s">
        <v>115</v>
      </c>
      <c r="D10" s="182"/>
      <c r="E10" s="182"/>
      <c r="F10" s="182"/>
      <c r="G10" s="182"/>
      <c r="H10" s="182"/>
    </row>
    <row r="11" spans="1:8" ht="15">
      <c r="A11" s="98" t="s">
        <v>57</v>
      </c>
      <c r="B11" s="99" t="e">
        <f>+B13+B17+SUPERA2004</f>
        <v>#NAME?</v>
      </c>
      <c r="C11" s="100" t="e">
        <f>+C13+C17+SUPERA2005</f>
        <v>#NAME?</v>
      </c>
      <c r="D11" s="100">
        <v>10643956592</v>
      </c>
      <c r="E11" s="121">
        <f>+E13+E17+E21</f>
        <v>2561217818</v>
      </c>
      <c r="F11" s="121">
        <f>+F13+F17+F21</f>
        <v>2369556654</v>
      </c>
      <c r="G11" s="123">
        <f>+G13+G17+G21</f>
        <v>-191661164.00000012</v>
      </c>
      <c r="H11" s="158">
        <f>+F11/E11</f>
        <v>0.9251679561757601</v>
      </c>
    </row>
    <row r="12" spans="1:8" ht="13.5" customHeight="1">
      <c r="A12" s="101"/>
      <c r="B12" s="102"/>
      <c r="C12" s="103"/>
      <c r="D12" s="103"/>
      <c r="E12" s="122"/>
      <c r="F12" s="171"/>
      <c r="G12" s="122"/>
      <c r="H12" s="157"/>
    </row>
    <row r="13" spans="1:11" ht="15">
      <c r="A13" s="104" t="s">
        <v>98</v>
      </c>
      <c r="B13" s="105">
        <f>+B14+B15</f>
        <v>7908932606.753849</v>
      </c>
      <c r="C13" s="106">
        <f>+C14+C15</f>
        <v>8404086990</v>
      </c>
      <c r="D13" s="106">
        <v>9160819532</v>
      </c>
      <c r="E13" s="136">
        <f>+E14+E15</f>
        <v>2291717818</v>
      </c>
      <c r="F13" s="136">
        <f>+F14+F15</f>
        <v>2362989822.25</v>
      </c>
      <c r="G13" s="123">
        <f>+G14+G15</f>
        <v>71272004.24999988</v>
      </c>
      <c r="H13" s="158">
        <f>+F13/E13</f>
        <v>1.0310998167794496</v>
      </c>
      <c r="K13" s="7"/>
    </row>
    <row r="14" spans="1:13" ht="15">
      <c r="A14" s="101" t="s">
        <v>58</v>
      </c>
      <c r="B14" s="102">
        <v>5931699455.065387</v>
      </c>
      <c r="C14" s="103">
        <v>6303065242.5</v>
      </c>
      <c r="D14" s="103">
        <v>6870614649</v>
      </c>
      <c r="E14" s="122">
        <f>(641758*3571)*75%</f>
        <v>1718788363.5</v>
      </c>
      <c r="F14" s="122">
        <v>1772242367.1799998</v>
      </c>
      <c r="G14" s="122">
        <f>+F14-E14</f>
        <v>53454003.67999983</v>
      </c>
      <c r="H14" s="160">
        <f aca="true" t="shared" si="0" ref="H14:H36">+F14/E14</f>
        <v>1.0310998170659886</v>
      </c>
      <c r="J14" s="41"/>
      <c r="M14" s="7"/>
    </row>
    <row r="15" spans="1:13" ht="15">
      <c r="A15" s="101" t="s">
        <v>59</v>
      </c>
      <c r="B15" s="102">
        <v>1977233151.6884623</v>
      </c>
      <c r="C15" s="103">
        <v>2101021747.5</v>
      </c>
      <c r="D15" s="103">
        <v>2290204883</v>
      </c>
      <c r="E15" s="122">
        <f>(641758*3571)*25%</f>
        <v>572929454.5</v>
      </c>
      <c r="F15" s="122">
        <v>590747455.07</v>
      </c>
      <c r="G15" s="122">
        <f>+F15-E15</f>
        <v>17818000.570000052</v>
      </c>
      <c r="H15" s="160">
        <f t="shared" si="0"/>
        <v>1.0310998159198326</v>
      </c>
      <c r="J15" s="7"/>
      <c r="M15" s="7"/>
    </row>
    <row r="16" spans="1:13" ht="15">
      <c r="A16" s="101"/>
      <c r="B16" s="102"/>
      <c r="C16" s="103"/>
      <c r="D16" s="103"/>
      <c r="E16" s="122"/>
      <c r="F16" s="171"/>
      <c r="G16" s="122"/>
      <c r="H16" s="157"/>
      <c r="J16" s="32"/>
      <c r="M16" s="7"/>
    </row>
    <row r="17" spans="1:10" ht="15">
      <c r="A17" s="108" t="s">
        <v>39</v>
      </c>
      <c r="B17" s="109">
        <f>+B18+B19</f>
        <v>110000000</v>
      </c>
      <c r="C17" s="110">
        <f>+C18+C19</f>
        <v>110000000</v>
      </c>
      <c r="D17" s="110">
        <v>110000000</v>
      </c>
      <c r="E17" s="123">
        <f>+E18+E19</f>
        <v>0</v>
      </c>
      <c r="F17" s="136">
        <f>+F18+F19</f>
        <v>6566831.75</v>
      </c>
      <c r="G17" s="123">
        <f>+G18+G19</f>
        <v>6566831.75</v>
      </c>
      <c r="H17" s="158">
        <v>0</v>
      </c>
      <c r="J17" s="7"/>
    </row>
    <row r="18" spans="1:10" ht="15">
      <c r="A18" s="101" t="s">
        <v>58</v>
      </c>
      <c r="B18" s="102">
        <v>82500000</v>
      </c>
      <c r="C18" s="103">
        <v>82500000</v>
      </c>
      <c r="D18" s="103">
        <v>82500000</v>
      </c>
      <c r="E18" s="122">
        <v>0</v>
      </c>
      <c r="F18" s="177">
        <f>6619570.5-1694446.68</f>
        <v>4925123.82</v>
      </c>
      <c r="G18" s="122">
        <f>+F18-E18</f>
        <v>4925123.82</v>
      </c>
      <c r="H18" s="160">
        <v>0</v>
      </c>
      <c r="J18" s="7"/>
    </row>
    <row r="19" spans="1:10" ht="15">
      <c r="A19" s="101" t="s">
        <v>59</v>
      </c>
      <c r="B19" s="102">
        <v>27500000</v>
      </c>
      <c r="C19" s="103">
        <v>27500000</v>
      </c>
      <c r="D19" s="103">
        <v>27500000</v>
      </c>
      <c r="E19" s="122">
        <v>0</v>
      </c>
      <c r="F19" s="177">
        <f>1864986.68-223278.75</f>
        <v>1641707.93</v>
      </c>
      <c r="G19" s="122">
        <f>+F19-E19</f>
        <v>1641707.93</v>
      </c>
      <c r="H19" s="160">
        <v>0</v>
      </c>
      <c r="J19" s="7"/>
    </row>
    <row r="20" spans="1:11" ht="15">
      <c r="A20" s="101"/>
      <c r="B20" s="102"/>
      <c r="C20" s="103"/>
      <c r="D20" s="103"/>
      <c r="E20" s="122"/>
      <c r="F20" s="171"/>
      <c r="G20" s="122"/>
      <c r="H20" s="157"/>
      <c r="J20" s="8"/>
      <c r="K20" s="7"/>
    </row>
    <row r="21" spans="1:10" ht="15">
      <c r="A21" s="108" t="s">
        <v>15</v>
      </c>
      <c r="B21" s="109">
        <f>+B22+B23</f>
        <v>1785418898.3087187</v>
      </c>
      <c r="C21" s="110">
        <f>+C22+C23</f>
        <v>2008114354.3087187</v>
      </c>
      <c r="D21" s="110">
        <v>1373137060</v>
      </c>
      <c r="E21" s="123">
        <f>+E22+E23</f>
        <v>269500000</v>
      </c>
      <c r="F21" s="172">
        <f>+SUM(F22:F23)</f>
        <v>0</v>
      </c>
      <c r="G21" s="123">
        <f>+G22+G23</f>
        <v>-269500000</v>
      </c>
      <c r="H21" s="158">
        <f t="shared" si="0"/>
        <v>0</v>
      </c>
      <c r="J21" s="4"/>
    </row>
    <row r="22" spans="1:10" ht="15">
      <c r="A22" s="101" t="s">
        <v>58</v>
      </c>
      <c r="B22" s="111">
        <v>1584365993.4872904</v>
      </c>
      <c r="C22" s="112">
        <v>1669368297.4872904</v>
      </c>
      <c r="D22" s="112">
        <v>748461637</v>
      </c>
      <c r="E22" s="124">
        <v>269500000</v>
      </c>
      <c r="F22" s="173">
        <v>0</v>
      </c>
      <c r="G22" s="122">
        <f>+F22-E22</f>
        <v>-269500000</v>
      </c>
      <c r="H22" s="160">
        <v>0</v>
      </c>
      <c r="J22" s="30"/>
    </row>
    <row r="23" spans="1:10" ht="15">
      <c r="A23" s="101" t="s">
        <v>59</v>
      </c>
      <c r="B23" s="102">
        <v>201052904.8214283</v>
      </c>
      <c r="C23" s="103">
        <v>338746056.8214283</v>
      </c>
      <c r="D23" s="103">
        <v>624675423</v>
      </c>
      <c r="E23" s="122">
        <v>0</v>
      </c>
      <c r="F23" s="171">
        <v>0</v>
      </c>
      <c r="G23" s="122">
        <f>+F23-E23</f>
        <v>0</v>
      </c>
      <c r="H23" s="160">
        <v>0</v>
      </c>
      <c r="J23" s="9"/>
    </row>
    <row r="24" spans="1:10" ht="15">
      <c r="A24" s="101"/>
      <c r="B24" s="102"/>
      <c r="C24" s="103"/>
      <c r="D24" s="103"/>
      <c r="E24" s="122"/>
      <c r="F24" s="171"/>
      <c r="G24" s="122"/>
      <c r="H24" s="157"/>
      <c r="J24" s="9"/>
    </row>
    <row r="25" spans="1:10" ht="15">
      <c r="A25" s="108" t="s">
        <v>60</v>
      </c>
      <c r="B25" s="109">
        <f>+B27+B31</f>
        <v>4726392357.828571</v>
      </c>
      <c r="C25" s="110">
        <f>+C27+C31</f>
        <v>4726392357.828571</v>
      </c>
      <c r="D25" s="110">
        <v>6285411993.775001</v>
      </c>
      <c r="E25" s="123">
        <f>+E27+E31</f>
        <v>1606508583.6230912</v>
      </c>
      <c r="F25" s="123">
        <f>+F27+F31</f>
        <v>1249698697.1299999</v>
      </c>
      <c r="G25" s="123">
        <f>+G27+G31</f>
        <v>-356809886.4930913</v>
      </c>
      <c r="H25" s="158">
        <f t="shared" si="0"/>
        <v>0.7778973046702352</v>
      </c>
      <c r="J25" s="4"/>
    </row>
    <row r="26" spans="1:10" ht="15">
      <c r="A26" s="101"/>
      <c r="B26" s="102"/>
      <c r="C26" s="103"/>
      <c r="D26" s="103"/>
      <c r="E26" s="122"/>
      <c r="F26" s="171"/>
      <c r="G26" s="122"/>
      <c r="H26" s="157"/>
      <c r="J26" s="7"/>
    </row>
    <row r="27" spans="1:8" ht="15">
      <c r="A27" s="108" t="s">
        <v>61</v>
      </c>
      <c r="B27" s="109">
        <f>+B28+B29</f>
        <v>65823042.857142866</v>
      </c>
      <c r="C27" s="110">
        <f>+C28+C29</f>
        <v>65823042.857142866</v>
      </c>
      <c r="D27" s="110">
        <v>26209247.325000003</v>
      </c>
      <c r="E27" s="123">
        <f>SUM(E28:E29)</f>
        <v>1500000</v>
      </c>
      <c r="F27" s="123">
        <f>+SUM(F28:F29)</f>
        <v>6464960.029999999</v>
      </c>
      <c r="G27" s="123">
        <f>SUM(G28:G29)</f>
        <v>4964960.029999999</v>
      </c>
      <c r="H27" s="158">
        <f t="shared" si="0"/>
        <v>4.309973353333333</v>
      </c>
    </row>
    <row r="28" spans="1:10" ht="15">
      <c r="A28" s="101" t="s">
        <v>41</v>
      </c>
      <c r="B28" s="102">
        <v>65823042.857142866</v>
      </c>
      <c r="C28" s="103">
        <v>65823042.857142866</v>
      </c>
      <c r="D28" s="103">
        <v>24939779.130000003</v>
      </c>
      <c r="E28" s="122">
        <v>750000</v>
      </c>
      <c r="F28" s="122">
        <v>5488554.14</v>
      </c>
      <c r="G28" s="122">
        <f>+F28-E28</f>
        <v>4738554.14</v>
      </c>
      <c r="H28" s="160">
        <f t="shared" si="0"/>
        <v>7.318072186666666</v>
      </c>
      <c r="J28" s="7"/>
    </row>
    <row r="29" spans="1:10" ht="15">
      <c r="A29" s="101" t="s">
        <v>42</v>
      </c>
      <c r="B29" s="102">
        <v>0</v>
      </c>
      <c r="C29" s="103">
        <v>0</v>
      </c>
      <c r="D29" s="103">
        <v>1269468.1950000003</v>
      </c>
      <c r="E29" s="122">
        <v>750000</v>
      </c>
      <c r="F29" s="122">
        <v>976405.89</v>
      </c>
      <c r="G29" s="122">
        <f>+F29-E29</f>
        <v>226405.89</v>
      </c>
      <c r="H29" s="160">
        <f t="shared" si="0"/>
        <v>1.30187452</v>
      </c>
      <c r="J29" s="7"/>
    </row>
    <row r="30" spans="1:8" ht="15">
      <c r="A30" s="101"/>
      <c r="B30" s="102"/>
      <c r="C30" s="103"/>
      <c r="D30" s="103"/>
      <c r="E30" s="122"/>
      <c r="F30" s="171"/>
      <c r="G30" s="122"/>
      <c r="H30" s="157"/>
    </row>
    <row r="31" spans="1:8" ht="15">
      <c r="A31" s="108" t="s">
        <v>62</v>
      </c>
      <c r="B31" s="109">
        <f>SUM(B32:B36)</f>
        <v>4660569314.971429</v>
      </c>
      <c r="C31" s="110">
        <f>SUM(C32:C36)</f>
        <v>4660569314.971429</v>
      </c>
      <c r="D31" s="110">
        <v>6259202746.450001</v>
      </c>
      <c r="E31" s="123">
        <f>SUM(E32:E36)</f>
        <v>1605008583.6230912</v>
      </c>
      <c r="F31" s="123">
        <f>+SUM(F32:F37)</f>
        <v>1243233737.1</v>
      </c>
      <c r="G31" s="123">
        <f>SUM(G32:G36)</f>
        <v>-361774846.52309126</v>
      </c>
      <c r="H31" s="158">
        <f t="shared" si="0"/>
        <v>0.7745963166711338</v>
      </c>
    </row>
    <row r="32" spans="1:8" ht="15">
      <c r="A32" s="101" t="s">
        <v>63</v>
      </c>
      <c r="B32" s="102">
        <v>4134851486.4000006</v>
      </c>
      <c r="C32" s="103">
        <v>4134851486.4000006</v>
      </c>
      <c r="D32" s="103">
        <v>3672838470.8</v>
      </c>
      <c r="E32" s="122">
        <v>1217648780</v>
      </c>
      <c r="F32" s="122">
        <v>871692473</v>
      </c>
      <c r="G32" s="122">
        <f>+F32-E32</f>
        <v>-345956307</v>
      </c>
      <c r="H32" s="160">
        <f t="shared" si="0"/>
        <v>0.7158816953768886</v>
      </c>
    </row>
    <row r="33" spans="1:8" ht="15">
      <c r="A33" s="113" t="s">
        <v>44</v>
      </c>
      <c r="B33" s="114">
        <v>33559548</v>
      </c>
      <c r="C33" s="115">
        <v>33559548</v>
      </c>
      <c r="D33" s="115">
        <v>51335297.31</v>
      </c>
      <c r="E33" s="125">
        <v>500000</v>
      </c>
      <c r="F33" s="122">
        <v>816692</v>
      </c>
      <c r="G33" s="122">
        <f>+F33-E33</f>
        <v>316692</v>
      </c>
      <c r="H33" s="160">
        <f t="shared" si="0"/>
        <v>1.633384</v>
      </c>
    </row>
    <row r="34" spans="1:8" ht="15">
      <c r="A34" s="113" t="s">
        <v>45</v>
      </c>
      <c r="B34" s="114">
        <v>9348838.285714285</v>
      </c>
      <c r="C34" s="115">
        <v>9348838.285714285</v>
      </c>
      <c r="D34" s="115">
        <v>6455579.340000001</v>
      </c>
      <c r="E34" s="125">
        <v>1350000</v>
      </c>
      <c r="F34" s="122">
        <v>7322103</v>
      </c>
      <c r="G34" s="122">
        <f>+F34-E34</f>
        <v>5972103</v>
      </c>
      <c r="H34" s="160">
        <f t="shared" si="0"/>
        <v>5.42378</v>
      </c>
    </row>
    <row r="35" spans="1:8" ht="15">
      <c r="A35" s="113" t="s">
        <v>43</v>
      </c>
      <c r="B35" s="114">
        <v>124905842.28571428</v>
      </c>
      <c r="C35" s="115">
        <v>124905842.28571428</v>
      </c>
      <c r="D35" s="115">
        <v>57082000</v>
      </c>
      <c r="E35" s="125">
        <v>5300000</v>
      </c>
      <c r="F35" s="122">
        <v>19003789</v>
      </c>
      <c r="G35" s="122">
        <f>+F35-E35</f>
        <v>13703789</v>
      </c>
      <c r="H35" s="160">
        <f t="shared" si="0"/>
        <v>3.585620566037736</v>
      </c>
    </row>
    <row r="36" spans="1:8" ht="15">
      <c r="A36" s="113" t="s">
        <v>88</v>
      </c>
      <c r="B36" s="114">
        <v>357903600</v>
      </c>
      <c r="C36" s="115">
        <v>357903600</v>
      </c>
      <c r="D36" s="115">
        <v>0</v>
      </c>
      <c r="E36" s="125">
        <f>+'Otros ingresos'!D41</f>
        <v>380209803.6230913</v>
      </c>
      <c r="F36" s="122">
        <v>344398680.1</v>
      </c>
      <c r="G36" s="122">
        <f>+F36-E36</f>
        <v>-35811123.52309126</v>
      </c>
      <c r="H36" s="160">
        <f t="shared" si="0"/>
        <v>0.9058122037310972</v>
      </c>
    </row>
    <row r="37" spans="1:8" ht="15">
      <c r="A37" s="113"/>
      <c r="B37" s="114"/>
      <c r="C37" s="115"/>
      <c r="D37" s="115"/>
      <c r="E37" s="125"/>
      <c r="F37" s="174"/>
      <c r="G37" s="125"/>
      <c r="H37" s="170"/>
    </row>
    <row r="38" spans="1:8" ht="15.75" thickBot="1">
      <c r="A38" s="113"/>
      <c r="B38" s="114"/>
      <c r="C38" s="115"/>
      <c r="D38" s="115"/>
      <c r="E38" s="125"/>
      <c r="F38" s="175"/>
      <c r="G38" s="125"/>
      <c r="H38" s="159"/>
    </row>
    <row r="39" spans="1:8" ht="15.75" thickBot="1">
      <c r="A39" s="116" t="s">
        <v>64</v>
      </c>
      <c r="B39" s="117" t="e">
        <f>+B25+B11</f>
        <v>#NAME?</v>
      </c>
      <c r="C39" s="118" t="e">
        <f>+C25+C11</f>
        <v>#NAME?</v>
      </c>
      <c r="D39" s="118">
        <v>16929368585.775002</v>
      </c>
      <c r="E39" s="118">
        <f>+E25+E11</f>
        <v>4167726401.623091</v>
      </c>
      <c r="F39" s="176">
        <f>+F25+F11</f>
        <v>3619255351.13</v>
      </c>
      <c r="G39" s="118">
        <f>+G25+G11</f>
        <v>-548471050.4930913</v>
      </c>
      <c r="H39" s="165">
        <f>+F39/E39</f>
        <v>0.8684004184440963</v>
      </c>
    </row>
    <row r="40" spans="1:3" ht="15">
      <c r="A40"/>
      <c r="B40" s="1"/>
      <c r="C40" s="1"/>
    </row>
    <row r="41" spans="1:8" ht="15" hidden="1">
      <c r="A41" s="130"/>
      <c r="B41" s="127" t="e">
        <f>+B3+B2+#REF!+#REF!+#REF!+#REF!+#REF!</f>
        <v>#REF!</v>
      </c>
      <c r="C41" s="1"/>
      <c r="D41" s="130" t="s">
        <v>162</v>
      </c>
      <c r="E41" s="7">
        <f>+E14+E18+E28+E33+E35+E22</f>
        <v>1994838363.5</v>
      </c>
      <c r="F41" s="7">
        <f>+F14+F18+F28+F33+F35+F22+F36</f>
        <v>2146875206.2399998</v>
      </c>
      <c r="G41" s="7"/>
      <c r="H41" s="7"/>
    </row>
    <row r="42" spans="1:8" ht="15" hidden="1">
      <c r="A42" s="130"/>
      <c r="B42" s="128">
        <f>+'[1]Anexo 2 '!H137-'[1]Anexo 2 '!D137</f>
        <v>0</v>
      </c>
      <c r="C42" s="1"/>
      <c r="D42" s="130" t="s">
        <v>163</v>
      </c>
      <c r="E42" s="132">
        <f>+GASTOS!H166-GASTOS!D166</f>
        <v>2432274219.5604906</v>
      </c>
      <c r="F42" s="132">
        <f>+GASTOS!I166-F46</f>
        <v>1911107246.4350002</v>
      </c>
      <c r="G42" s="132"/>
      <c r="H42" s="132"/>
    </row>
    <row r="43" spans="1:8" ht="15" hidden="1">
      <c r="A43" s="130"/>
      <c r="B43" s="129" t="e">
        <f>+B41-B42</f>
        <v>#REF!</v>
      </c>
      <c r="C43" s="1"/>
      <c r="D43" s="130" t="s">
        <v>164</v>
      </c>
      <c r="E43" s="4">
        <v>1016478193.3576326</v>
      </c>
      <c r="F43" s="4">
        <f>+F41-F42</f>
        <v>235767959.8049996</v>
      </c>
      <c r="G43" s="4"/>
      <c r="H43" s="4"/>
    </row>
    <row r="44" spans="1:8" ht="15" hidden="1">
      <c r="A44" s="130"/>
      <c r="B44" s="91"/>
      <c r="C44" s="1"/>
      <c r="D44" s="130"/>
      <c r="H44" s="4"/>
    </row>
    <row r="45" spans="1:8" ht="15" hidden="1">
      <c r="A45" s="130"/>
      <c r="B45" s="107" t="e">
        <f>+B4+B1+#REF!+#REF!+#REF!+#REF!+#REF!</f>
        <v>#REF!</v>
      </c>
      <c r="C45" s="1"/>
      <c r="D45" s="130" t="s">
        <v>165</v>
      </c>
      <c r="E45" s="7">
        <f>+E15+E19+E29+E32+E34+E36+E23</f>
        <v>2172888038.123091</v>
      </c>
      <c r="F45" s="7">
        <f>+F15+F19+F29+F32+F34+F23</f>
        <v>1472380144.8899999</v>
      </c>
      <c r="G45" s="7"/>
      <c r="H45" s="7"/>
    </row>
    <row r="46" spans="1:8" ht="15" hidden="1">
      <c r="A46" s="130"/>
      <c r="B46" s="128">
        <f>+'[1]Anexo 2 '!D137</f>
        <v>0</v>
      </c>
      <c r="C46" s="1"/>
      <c r="D46" s="130" t="s">
        <v>166</v>
      </c>
      <c r="E46" s="132">
        <f>+GASTOS!D166</f>
        <v>1733982490.531103</v>
      </c>
      <c r="F46" s="132">
        <f>+GASTOS!I132+(GASTOS!I160*25%)+217524209+82026821</f>
        <v>1407545214.675</v>
      </c>
      <c r="G46" s="132"/>
      <c r="H46" s="132"/>
    </row>
    <row r="47" spans="1:8" ht="15" hidden="1">
      <c r="A47" s="130"/>
      <c r="B47" s="129" t="e">
        <f>+B45-B46</f>
        <v>#REF!</v>
      </c>
      <c r="C47" s="1"/>
      <c r="D47" s="130" t="s">
        <v>164</v>
      </c>
      <c r="E47" s="131">
        <v>104731563.15505505</v>
      </c>
      <c r="F47" s="4">
        <f>+F45-F46</f>
        <v>64834930.214999914</v>
      </c>
      <c r="G47" s="131"/>
      <c r="H47" s="131"/>
    </row>
    <row r="48" spans="1:8" ht="15" hidden="1">
      <c r="A48"/>
      <c r="B48" s="1"/>
      <c r="C48" s="1"/>
      <c r="H48" s="4">
        <f>+F42+F46</f>
        <v>3318652461.11</v>
      </c>
    </row>
    <row r="49" spans="1:3" ht="15" hidden="1">
      <c r="A49"/>
      <c r="B49" s="1"/>
      <c r="C49" s="1"/>
    </row>
    <row r="50" spans="1:3" ht="15" hidden="1">
      <c r="A50"/>
      <c r="B50" s="1"/>
      <c r="C50" s="1"/>
    </row>
    <row r="51" spans="1:6" ht="15">
      <c r="A51"/>
      <c r="B51" s="1"/>
      <c r="C51" s="1"/>
      <c r="F51" s="7"/>
    </row>
    <row r="52" spans="1:3" ht="15">
      <c r="A52"/>
      <c r="B52" s="1"/>
      <c r="C52" s="1"/>
    </row>
    <row r="53" spans="1:3" ht="15">
      <c r="A53"/>
      <c r="B53" s="1"/>
      <c r="C53" s="1"/>
    </row>
    <row r="54" spans="1:3" ht="15">
      <c r="A54"/>
      <c r="B54" s="1"/>
      <c r="C54" s="1"/>
    </row>
    <row r="55" spans="1:3" ht="15">
      <c r="A55"/>
      <c r="B55" s="1"/>
      <c r="C55" s="1"/>
    </row>
    <row r="56" spans="1:3" ht="15">
      <c r="A56"/>
      <c r="B56" s="1"/>
      <c r="C56" s="1"/>
    </row>
    <row r="57" spans="1:3" ht="15">
      <c r="A57"/>
      <c r="B57" s="1"/>
      <c r="C57" s="1"/>
    </row>
    <row r="58" spans="1:3" ht="15">
      <c r="A58"/>
      <c r="B58" s="1"/>
      <c r="C58" s="1"/>
    </row>
    <row r="59" spans="1:3" ht="15">
      <c r="A59"/>
      <c r="B59" s="1"/>
      <c r="C59" s="1"/>
    </row>
    <row r="60" spans="1:3" ht="15">
      <c r="A60"/>
      <c r="B60" s="1"/>
      <c r="C60" s="1"/>
    </row>
    <row r="61" spans="1:3" ht="15">
      <c r="A61"/>
      <c r="B61" s="1"/>
      <c r="C61" s="1"/>
    </row>
    <row r="62" spans="1:3" ht="15">
      <c r="A62"/>
      <c r="B62" s="1"/>
      <c r="C62" s="1"/>
    </row>
    <row r="63" spans="1:3" ht="15">
      <c r="A63"/>
      <c r="B63" s="1"/>
      <c r="C63" s="1"/>
    </row>
    <row r="64" spans="1:3" ht="15">
      <c r="A64"/>
      <c r="B64" s="1"/>
      <c r="C64" s="1"/>
    </row>
    <row r="65" spans="1:3" ht="15">
      <c r="A65"/>
      <c r="B65" s="1"/>
      <c r="C65" s="1"/>
    </row>
    <row r="66" spans="1:3" ht="15">
      <c r="A66"/>
      <c r="B66" s="1"/>
      <c r="C66" s="1"/>
    </row>
    <row r="67" spans="1:3" ht="15">
      <c r="A67"/>
      <c r="B67" s="1"/>
      <c r="C67" s="1"/>
    </row>
    <row r="68" spans="1:3" ht="15">
      <c r="A68"/>
      <c r="B68" s="1"/>
      <c r="C68" s="1"/>
    </row>
    <row r="69" spans="1:3" ht="15">
      <c r="A69"/>
      <c r="B69" s="1"/>
      <c r="C69" s="1"/>
    </row>
    <row r="70" spans="1:3" ht="15">
      <c r="A70"/>
      <c r="B70" s="1"/>
      <c r="C70" s="1"/>
    </row>
    <row r="71" spans="1:3" ht="15">
      <c r="A71"/>
      <c r="B71" s="1"/>
      <c r="C71" s="1"/>
    </row>
    <row r="72" spans="1:3" ht="15">
      <c r="A72"/>
      <c r="B72" s="1"/>
      <c r="C72" s="1"/>
    </row>
    <row r="73" spans="1:3" ht="15">
      <c r="A73"/>
      <c r="B73" s="1"/>
      <c r="C73" s="1"/>
    </row>
    <row r="74" spans="1:3" ht="15">
      <c r="A74"/>
      <c r="B74" s="1"/>
      <c r="C74" s="1"/>
    </row>
    <row r="75" spans="1:3" ht="15">
      <c r="A75"/>
      <c r="B75" s="1"/>
      <c r="C75" s="1"/>
    </row>
    <row r="76" spans="1:3" ht="15">
      <c r="A76"/>
      <c r="B76" s="1"/>
      <c r="C76" s="1"/>
    </row>
    <row r="77" spans="1:3" ht="15">
      <c r="A77"/>
      <c r="B77" s="1"/>
      <c r="C77" s="1"/>
    </row>
    <row r="78" spans="1:3" ht="15">
      <c r="A78"/>
      <c r="B78" s="1"/>
      <c r="C78" s="1"/>
    </row>
    <row r="79" spans="1:3" ht="15">
      <c r="A79"/>
      <c r="B79" s="1"/>
      <c r="C79" s="1"/>
    </row>
    <row r="80" spans="1:3" ht="15">
      <c r="A80"/>
      <c r="B80" s="1"/>
      <c r="C80" s="1"/>
    </row>
    <row r="81" spans="1:3" ht="15">
      <c r="A81"/>
      <c r="B81" s="1"/>
      <c r="C81" s="1"/>
    </row>
    <row r="82" spans="2:3" ht="15">
      <c r="B82" s="1"/>
      <c r="C82" s="1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2:3" ht="15">
      <c r="B90" s="1"/>
      <c r="C90" s="1"/>
    </row>
    <row r="91" spans="2:3" ht="15">
      <c r="B91" s="1"/>
      <c r="C91" s="1"/>
    </row>
    <row r="92" spans="2:3" ht="15">
      <c r="B92" s="1"/>
      <c r="C92" s="1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1"/>
      <c r="C96" s="1"/>
    </row>
    <row r="97" spans="2:3" ht="15">
      <c r="B97" s="1"/>
      <c r="C97" s="1"/>
    </row>
    <row r="98" spans="2:3" ht="15">
      <c r="B98" s="1"/>
      <c r="C98" s="1"/>
    </row>
    <row r="99" spans="2:3" ht="15">
      <c r="B99" s="1"/>
      <c r="C99" s="1"/>
    </row>
    <row r="100" spans="2:3" ht="15">
      <c r="B100" s="1"/>
      <c r="C100" s="1"/>
    </row>
    <row r="101" spans="2:3" ht="15">
      <c r="B101" s="1"/>
      <c r="C101" s="1"/>
    </row>
    <row r="102" spans="2:3" ht="15">
      <c r="B102" s="1"/>
      <c r="C102" s="1"/>
    </row>
    <row r="103" spans="2:3" ht="15">
      <c r="B103" s="1"/>
      <c r="C103" s="1"/>
    </row>
    <row r="104" spans="2:3" ht="15">
      <c r="B104" s="1"/>
      <c r="C104" s="1"/>
    </row>
    <row r="105" spans="2:3" ht="15">
      <c r="B105" s="1"/>
      <c r="C105" s="1"/>
    </row>
    <row r="106" spans="2:3" ht="15">
      <c r="B106" s="1"/>
      <c r="C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2:3" ht="15">
      <c r="B112" s="1"/>
      <c r="C112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0" spans="2:3" ht="15">
      <c r="B130" s="1"/>
      <c r="C130" s="1"/>
    </row>
    <row r="131" spans="2:3" ht="15">
      <c r="B131" s="1"/>
      <c r="C131" s="1"/>
    </row>
    <row r="132" spans="2:3" ht="15">
      <c r="B132" s="1"/>
      <c r="C132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0" spans="2:3" ht="15">
      <c r="B140" s="1"/>
      <c r="C140" s="1"/>
    </row>
    <row r="141" spans="2:3" ht="15">
      <c r="B141" s="1"/>
      <c r="C141" s="1"/>
    </row>
    <row r="142" spans="2:3" ht="15">
      <c r="B142" s="1"/>
      <c r="C142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0" spans="2:3" ht="15">
      <c r="B150" s="1"/>
      <c r="C150" s="1"/>
    </row>
    <row r="151" spans="2:3" ht="15">
      <c r="B151" s="1"/>
      <c r="C151" s="1"/>
    </row>
    <row r="152" spans="2:3" ht="15">
      <c r="B152" s="1"/>
      <c r="C152" s="1"/>
    </row>
    <row r="153" spans="2:3" ht="15">
      <c r="B153" s="1"/>
      <c r="C153" s="1"/>
    </row>
    <row r="154" spans="2:3" ht="15">
      <c r="B154" s="1"/>
      <c r="C154" s="1"/>
    </row>
    <row r="155" spans="2:3" ht="15">
      <c r="B155" s="1"/>
      <c r="C155" s="1"/>
    </row>
    <row r="156" spans="2:3" ht="15">
      <c r="B156" s="1"/>
      <c r="C156" s="1"/>
    </row>
    <row r="157" spans="2:3" ht="15">
      <c r="B157" s="1"/>
      <c r="C157" s="1"/>
    </row>
    <row r="158" spans="2:3" ht="15">
      <c r="B158" s="1"/>
      <c r="C158" s="1"/>
    </row>
    <row r="159" spans="2:3" ht="15">
      <c r="B159" s="1"/>
      <c r="C159" s="1"/>
    </row>
    <row r="160" spans="2:3" ht="15">
      <c r="B160" s="1"/>
      <c r="C160" s="1"/>
    </row>
    <row r="161" spans="2:3" ht="15">
      <c r="B161" s="1"/>
      <c r="C161" s="1"/>
    </row>
    <row r="162" spans="2:3" ht="15">
      <c r="B162" s="1"/>
      <c r="C162" s="1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  <row r="170" spans="2:3" ht="15">
      <c r="B170" s="1"/>
      <c r="C170" s="1"/>
    </row>
    <row r="171" spans="2:3" ht="15">
      <c r="B171" s="1"/>
      <c r="C171" s="1"/>
    </row>
    <row r="172" spans="2:3" ht="15">
      <c r="B172" s="1"/>
      <c r="C172" s="1"/>
    </row>
    <row r="173" spans="2:3" ht="15">
      <c r="B173" s="1"/>
      <c r="C173" s="1"/>
    </row>
    <row r="174" spans="2:3" ht="15">
      <c r="B174" s="1"/>
      <c r="C174" s="1"/>
    </row>
    <row r="175" spans="2:3" ht="15">
      <c r="B175" s="1"/>
      <c r="C175" s="1"/>
    </row>
    <row r="176" spans="2:3" ht="15">
      <c r="B176" s="1"/>
      <c r="C176" s="1"/>
    </row>
    <row r="177" spans="2:3" ht="15">
      <c r="B177" s="1"/>
      <c r="C177" s="1"/>
    </row>
    <row r="178" spans="2:3" ht="15">
      <c r="B178" s="1"/>
      <c r="C178" s="1"/>
    </row>
    <row r="179" spans="2:3" ht="15">
      <c r="B179" s="1"/>
      <c r="C179" s="1"/>
    </row>
    <row r="180" spans="2:3" ht="15">
      <c r="B180" s="1"/>
      <c r="C180" s="1"/>
    </row>
    <row r="181" spans="2:3" ht="15">
      <c r="B181" s="1"/>
      <c r="C181" s="1"/>
    </row>
    <row r="182" spans="2:3" ht="15">
      <c r="B182" s="1"/>
      <c r="C182" s="1"/>
    </row>
    <row r="183" spans="2:3" ht="15">
      <c r="B183" s="1"/>
      <c r="C183" s="1"/>
    </row>
    <row r="184" spans="2:3" ht="15">
      <c r="B184" s="1"/>
      <c r="C184" s="1"/>
    </row>
    <row r="185" spans="2:3" ht="15">
      <c r="B185" s="1"/>
      <c r="C185" s="1"/>
    </row>
    <row r="186" spans="2:3" ht="15">
      <c r="B186" s="1"/>
      <c r="C186" s="1"/>
    </row>
    <row r="187" spans="2:3" ht="15">
      <c r="B187" s="1"/>
      <c r="C187" s="1"/>
    </row>
    <row r="188" spans="2:3" ht="15">
      <c r="B188" s="1"/>
      <c r="C188" s="1"/>
    </row>
    <row r="189" spans="2:3" ht="15">
      <c r="B189" s="1"/>
      <c r="C189" s="1"/>
    </row>
    <row r="190" spans="2:3" ht="15">
      <c r="B190" s="1"/>
      <c r="C190" s="1"/>
    </row>
    <row r="191" spans="2:3" ht="15">
      <c r="B191" s="1"/>
      <c r="C191" s="1"/>
    </row>
    <row r="192" spans="2:3" ht="15">
      <c r="B192" s="1"/>
      <c r="C192" s="1"/>
    </row>
    <row r="193" spans="2:3" ht="15">
      <c r="B193" s="1"/>
      <c r="C193" s="1"/>
    </row>
    <row r="194" spans="2:3" ht="15">
      <c r="B194" s="1"/>
      <c r="C194" s="1"/>
    </row>
    <row r="195" spans="2:3" ht="15">
      <c r="B195" s="1"/>
      <c r="C195" s="1"/>
    </row>
    <row r="196" spans="2:3" ht="15">
      <c r="B196" s="1"/>
      <c r="C196" s="1"/>
    </row>
    <row r="197" spans="2:3" ht="15">
      <c r="B197" s="1"/>
      <c r="C197" s="1"/>
    </row>
    <row r="198" spans="2:3" ht="15">
      <c r="B198" s="1"/>
      <c r="C198" s="1"/>
    </row>
    <row r="199" spans="2:3" ht="15">
      <c r="B199" s="1"/>
      <c r="C199" s="1"/>
    </row>
    <row r="200" spans="2:3" ht="15">
      <c r="B200" s="1"/>
      <c r="C200" s="1"/>
    </row>
    <row r="201" spans="2:3" ht="15">
      <c r="B201" s="1"/>
      <c r="C201" s="1"/>
    </row>
    <row r="202" spans="2:3" ht="15">
      <c r="B202" s="1"/>
      <c r="C202" s="1"/>
    </row>
    <row r="203" spans="2:3" ht="15">
      <c r="B203" s="1"/>
      <c r="C203" s="1"/>
    </row>
    <row r="204" spans="2:3" ht="15">
      <c r="B204" s="1"/>
      <c r="C204" s="1"/>
    </row>
    <row r="205" spans="2:3" ht="15">
      <c r="B205" s="1"/>
      <c r="C205" s="1"/>
    </row>
    <row r="206" spans="2:3" ht="15">
      <c r="B206" s="1"/>
      <c r="C206" s="1"/>
    </row>
    <row r="207" spans="2:3" ht="15">
      <c r="B207" s="1"/>
      <c r="C207" s="1"/>
    </row>
    <row r="208" spans="2:3" ht="15">
      <c r="B208" s="1"/>
      <c r="C208" s="1"/>
    </row>
    <row r="209" spans="2:3" ht="15">
      <c r="B209" s="1"/>
      <c r="C209" s="1"/>
    </row>
    <row r="210" spans="2:3" ht="15">
      <c r="B210" s="1"/>
      <c r="C210" s="1"/>
    </row>
    <row r="211" spans="2:3" ht="15">
      <c r="B211" s="1"/>
      <c r="C211" s="1"/>
    </row>
    <row r="212" spans="2:3" ht="15">
      <c r="B212" s="1"/>
      <c r="C212" s="1"/>
    </row>
    <row r="213" spans="2:3" ht="15">
      <c r="B213" s="1"/>
      <c r="C213" s="1"/>
    </row>
    <row r="214" spans="2:3" ht="15">
      <c r="B214" s="1"/>
      <c r="C214" s="1"/>
    </row>
    <row r="215" spans="2:3" ht="15">
      <c r="B215" s="1"/>
      <c r="C215" s="1"/>
    </row>
    <row r="216" spans="2:3" ht="15">
      <c r="B216" s="1"/>
      <c r="C216" s="1"/>
    </row>
    <row r="217" spans="2:3" ht="15">
      <c r="B217" s="1"/>
      <c r="C217" s="1"/>
    </row>
    <row r="218" spans="2:3" ht="15">
      <c r="B218" s="1"/>
      <c r="C218" s="1"/>
    </row>
    <row r="219" spans="2:3" ht="15">
      <c r="B219" s="1"/>
      <c r="C219" s="1"/>
    </row>
    <row r="220" spans="2:3" ht="15">
      <c r="B220" s="1"/>
      <c r="C220" s="1"/>
    </row>
    <row r="221" spans="2:3" ht="15">
      <c r="B221" s="1"/>
      <c r="C221" s="1"/>
    </row>
    <row r="222" spans="2:3" ht="15">
      <c r="B222" s="1"/>
      <c r="C222" s="1"/>
    </row>
    <row r="223" spans="2:3" ht="15">
      <c r="B223" s="1"/>
      <c r="C223" s="1"/>
    </row>
    <row r="224" spans="2:3" ht="15">
      <c r="B224" s="1"/>
      <c r="C224" s="1"/>
    </row>
    <row r="225" spans="2:3" ht="15">
      <c r="B225" s="1"/>
      <c r="C225" s="1"/>
    </row>
    <row r="226" spans="2:3" ht="15">
      <c r="B226" s="1"/>
      <c r="C226" s="1"/>
    </row>
    <row r="227" spans="2:3" ht="15">
      <c r="B227" s="1"/>
      <c r="C227" s="1"/>
    </row>
    <row r="228" spans="2:3" ht="15">
      <c r="B228" s="1"/>
      <c r="C228" s="1"/>
    </row>
    <row r="229" spans="2:3" ht="15">
      <c r="B229" s="1"/>
      <c r="C229" s="1"/>
    </row>
    <row r="230" spans="2:3" ht="15">
      <c r="B230" s="1"/>
      <c r="C230" s="1"/>
    </row>
    <row r="231" spans="2:3" ht="15">
      <c r="B231" s="1"/>
      <c r="C231" s="1"/>
    </row>
    <row r="232" spans="2:3" ht="15">
      <c r="B232" s="1"/>
      <c r="C232" s="1"/>
    </row>
    <row r="233" spans="2:3" ht="15">
      <c r="B233" s="1"/>
      <c r="C233" s="1"/>
    </row>
    <row r="234" spans="2:3" ht="15">
      <c r="B234" s="1"/>
      <c r="C234" s="1"/>
    </row>
    <row r="235" spans="2:3" ht="15">
      <c r="B235" s="1"/>
      <c r="C235" s="1"/>
    </row>
    <row r="236" spans="2:3" ht="15">
      <c r="B236" s="1"/>
      <c r="C236" s="1"/>
    </row>
    <row r="237" spans="2:3" ht="15">
      <c r="B237" s="1"/>
      <c r="C237" s="1"/>
    </row>
    <row r="238" spans="2:3" ht="15">
      <c r="B238" s="1"/>
      <c r="C238" s="1"/>
    </row>
    <row r="239" spans="2:3" ht="15">
      <c r="B239" s="1"/>
      <c r="C239" s="1"/>
    </row>
    <row r="240" spans="2:3" ht="15">
      <c r="B240" s="1"/>
      <c r="C240" s="1"/>
    </row>
    <row r="241" spans="2:3" ht="15">
      <c r="B241" s="1"/>
      <c r="C241" s="1"/>
    </row>
    <row r="242" spans="2:3" ht="15">
      <c r="B242" s="1"/>
      <c r="C242" s="1"/>
    </row>
    <row r="243" spans="2:3" ht="15">
      <c r="B243" s="1"/>
      <c r="C243" s="1"/>
    </row>
    <row r="244" spans="2:3" ht="15">
      <c r="B244" s="1"/>
      <c r="C244" s="1"/>
    </row>
    <row r="245" spans="2:3" ht="15">
      <c r="B245" s="1"/>
      <c r="C245" s="1"/>
    </row>
    <row r="246" spans="2:3" ht="15">
      <c r="B246" s="1"/>
      <c r="C246" s="1"/>
    </row>
    <row r="247" spans="2:3" ht="15">
      <c r="B247" s="1"/>
      <c r="C247" s="1"/>
    </row>
    <row r="248" spans="2:3" ht="15">
      <c r="B248" s="1"/>
      <c r="C248" s="1"/>
    </row>
    <row r="249" spans="2:3" ht="15">
      <c r="B249" s="1"/>
      <c r="C249" s="1"/>
    </row>
    <row r="250" spans="2:3" ht="15">
      <c r="B250" s="1"/>
      <c r="C250" s="1"/>
    </row>
    <row r="251" spans="2:3" ht="15">
      <c r="B251" s="1"/>
      <c r="C251" s="1"/>
    </row>
    <row r="252" spans="2:3" ht="15">
      <c r="B252" s="1"/>
      <c r="C252" s="1"/>
    </row>
    <row r="253" spans="2:3" ht="15">
      <c r="B253" s="1"/>
      <c r="C253" s="1"/>
    </row>
    <row r="254" spans="2:3" ht="15">
      <c r="B254" s="1"/>
      <c r="C254" s="1"/>
    </row>
    <row r="255" spans="2:3" ht="15">
      <c r="B255" s="1"/>
      <c r="C255" s="1"/>
    </row>
    <row r="256" spans="2:3" ht="15">
      <c r="B256" s="1"/>
      <c r="C256" s="1"/>
    </row>
    <row r="257" spans="2:3" ht="15">
      <c r="B257" s="1"/>
      <c r="C257" s="1"/>
    </row>
    <row r="258" spans="2:3" ht="15">
      <c r="B258" s="1"/>
      <c r="C258" s="1"/>
    </row>
    <row r="259" spans="2:3" ht="15">
      <c r="B259" s="1"/>
      <c r="C259" s="1"/>
    </row>
    <row r="260" spans="2:3" ht="15">
      <c r="B260" s="1"/>
      <c r="C260" s="1"/>
    </row>
    <row r="261" spans="2:3" ht="15">
      <c r="B261" s="1"/>
      <c r="C261" s="1"/>
    </row>
    <row r="262" spans="2:3" ht="15">
      <c r="B262" s="1"/>
      <c r="C262" s="1"/>
    </row>
    <row r="263" spans="2:3" ht="15">
      <c r="B263" s="1"/>
      <c r="C263" s="1"/>
    </row>
    <row r="264" spans="2:3" ht="15">
      <c r="B264" s="1"/>
      <c r="C264" s="1"/>
    </row>
    <row r="265" spans="2:3" ht="15">
      <c r="B265" s="1"/>
      <c r="C265" s="1"/>
    </row>
    <row r="266" spans="2:3" ht="15">
      <c r="B266" s="1"/>
      <c r="C266" s="1"/>
    </row>
    <row r="267" spans="2:3" ht="15">
      <c r="B267" s="1"/>
      <c r="C267" s="1"/>
    </row>
    <row r="268" spans="2:3" ht="15">
      <c r="B268" s="1"/>
      <c r="C268" s="1"/>
    </row>
    <row r="269" spans="2:3" ht="15">
      <c r="B269" s="1"/>
      <c r="C269" s="1"/>
    </row>
    <row r="270" spans="2:3" ht="15">
      <c r="B270" s="1"/>
      <c r="C270" s="1"/>
    </row>
    <row r="271" spans="2:3" ht="15">
      <c r="B271" s="1"/>
      <c r="C271" s="1"/>
    </row>
    <row r="272" spans="2:3" ht="15">
      <c r="B272" s="1"/>
      <c r="C272" s="1"/>
    </row>
    <row r="273" spans="2:3" ht="15">
      <c r="B273" s="1"/>
      <c r="C273" s="1"/>
    </row>
    <row r="274" spans="2:3" ht="15">
      <c r="B274" s="1"/>
      <c r="C274" s="1"/>
    </row>
    <row r="275" spans="2:3" ht="15">
      <c r="B275" s="1"/>
      <c r="C275" s="1"/>
    </row>
    <row r="276" spans="2:3" ht="15">
      <c r="B276" s="1"/>
      <c r="C276" s="1"/>
    </row>
    <row r="277" spans="2:3" ht="15">
      <c r="B277" s="1"/>
      <c r="C277" s="1"/>
    </row>
    <row r="278" spans="2:3" ht="15">
      <c r="B278" s="1"/>
      <c r="C278" s="1"/>
    </row>
    <row r="279" spans="2:3" ht="15">
      <c r="B279" s="1"/>
      <c r="C279" s="1"/>
    </row>
    <row r="280" spans="2:3" ht="15">
      <c r="B280" s="1"/>
      <c r="C280" s="1"/>
    </row>
    <row r="281" spans="2:3" ht="15">
      <c r="B281" s="1"/>
      <c r="C281" s="1"/>
    </row>
    <row r="282" spans="2:3" ht="15">
      <c r="B282" s="1"/>
      <c r="C282" s="1"/>
    </row>
    <row r="283" spans="2:3" ht="15">
      <c r="B283" s="1"/>
      <c r="C283" s="1"/>
    </row>
    <row r="284" spans="2:3" ht="15">
      <c r="B284" s="1"/>
      <c r="C284" s="1"/>
    </row>
    <row r="285" spans="2:3" ht="15">
      <c r="B285" s="1"/>
      <c r="C285" s="1"/>
    </row>
    <row r="286" spans="2:3" ht="15">
      <c r="B286" s="1"/>
      <c r="C286" s="1"/>
    </row>
    <row r="287" spans="2:3" ht="15">
      <c r="B287" s="1"/>
      <c r="C287" s="1"/>
    </row>
    <row r="288" spans="2:3" ht="15">
      <c r="B288" s="1"/>
      <c r="C288" s="1"/>
    </row>
    <row r="289" spans="2:3" ht="15">
      <c r="B289" s="1"/>
      <c r="C289" s="1"/>
    </row>
    <row r="290" spans="2:3" ht="15">
      <c r="B290" s="1"/>
      <c r="C290" s="1"/>
    </row>
    <row r="291" spans="2:3" ht="15">
      <c r="B291" s="1"/>
      <c r="C291" s="1"/>
    </row>
    <row r="292" spans="2:3" ht="15">
      <c r="B292" s="1"/>
      <c r="C292" s="1"/>
    </row>
    <row r="293" spans="2:3" ht="15">
      <c r="B293" s="1"/>
      <c r="C293" s="1"/>
    </row>
    <row r="294" spans="2:3" ht="15">
      <c r="B294" s="1"/>
      <c r="C294" s="1"/>
    </row>
    <row r="295" spans="2:3" ht="15">
      <c r="B295" s="1"/>
      <c r="C295" s="1"/>
    </row>
    <row r="296" spans="2:3" ht="15">
      <c r="B296" s="1"/>
      <c r="C296" s="1"/>
    </row>
    <row r="297" spans="2:3" ht="15">
      <c r="B297" s="1"/>
      <c r="C297" s="1"/>
    </row>
    <row r="298" spans="2:3" ht="15">
      <c r="B298" s="1"/>
      <c r="C298" s="1"/>
    </row>
    <row r="299" spans="2:3" ht="15">
      <c r="B299" s="1"/>
      <c r="C299" s="1"/>
    </row>
    <row r="300" spans="2:3" ht="15">
      <c r="B300" s="1"/>
      <c r="C300" s="1"/>
    </row>
    <row r="301" spans="2:3" ht="15">
      <c r="B301" s="1"/>
      <c r="C301" s="1"/>
    </row>
    <row r="302" spans="2:3" ht="15">
      <c r="B302" s="1"/>
      <c r="C302" s="1"/>
    </row>
    <row r="303" spans="2:3" ht="15">
      <c r="B303" s="1"/>
      <c r="C303" s="1"/>
    </row>
    <row r="304" spans="2:3" ht="15">
      <c r="B304" s="1"/>
      <c r="C304" s="1"/>
    </row>
    <row r="305" spans="2:3" ht="15">
      <c r="B305" s="1"/>
      <c r="C305" s="1"/>
    </row>
    <row r="306" spans="2:3" ht="15">
      <c r="B306" s="1"/>
      <c r="C306" s="1"/>
    </row>
    <row r="307" spans="2:3" ht="15">
      <c r="B307" s="1"/>
      <c r="C307" s="1"/>
    </row>
    <row r="308" spans="2:3" ht="15">
      <c r="B308" s="1"/>
      <c r="C308" s="1"/>
    </row>
    <row r="309" spans="2:3" ht="15">
      <c r="B309" s="1"/>
      <c r="C309" s="1"/>
    </row>
    <row r="310" spans="2:3" ht="15">
      <c r="B310" s="1"/>
      <c r="C310" s="1"/>
    </row>
    <row r="311" spans="2:3" ht="15">
      <c r="B311" s="1"/>
      <c r="C311" s="1"/>
    </row>
    <row r="312" spans="2:3" ht="15">
      <c r="B312" s="1"/>
      <c r="C312" s="1"/>
    </row>
    <row r="313" spans="2:3" ht="15">
      <c r="B313" s="1"/>
      <c r="C313" s="1"/>
    </row>
    <row r="314" spans="2:3" ht="15">
      <c r="B314" s="1"/>
      <c r="C314" s="1"/>
    </row>
    <row r="315" spans="2:3" ht="15">
      <c r="B315" s="1"/>
      <c r="C315" s="1"/>
    </row>
    <row r="316" spans="2:3" ht="15">
      <c r="B316" s="1"/>
      <c r="C316" s="1"/>
    </row>
    <row r="317" spans="2:3" ht="15">
      <c r="B317" s="1"/>
      <c r="C317" s="1"/>
    </row>
    <row r="318" spans="2:3" ht="15">
      <c r="B318" s="1"/>
      <c r="C318" s="1"/>
    </row>
    <row r="319" spans="2:3" ht="15">
      <c r="B319" s="1"/>
      <c r="C319" s="1"/>
    </row>
    <row r="320" spans="2:3" ht="15">
      <c r="B320" s="1"/>
      <c r="C320" s="1"/>
    </row>
    <row r="321" spans="2:3" ht="15">
      <c r="B321" s="1"/>
      <c r="C321" s="1"/>
    </row>
    <row r="322" spans="2:3" ht="15">
      <c r="B322" s="1"/>
      <c r="C322" s="1"/>
    </row>
    <row r="323" spans="2:3" ht="15">
      <c r="B323" s="1"/>
      <c r="C323" s="1"/>
    </row>
    <row r="324" spans="2:3" ht="15">
      <c r="B324" s="1"/>
      <c r="C324" s="1"/>
    </row>
    <row r="325" spans="2:3" ht="15">
      <c r="B325" s="1"/>
      <c r="C325" s="1"/>
    </row>
    <row r="326" spans="2:3" ht="15">
      <c r="B326" s="1"/>
      <c r="C326" s="1"/>
    </row>
    <row r="327" spans="2:3" ht="15">
      <c r="B327" s="1"/>
      <c r="C327" s="1"/>
    </row>
    <row r="328" spans="2:3" ht="15">
      <c r="B328" s="1"/>
      <c r="C328" s="1"/>
    </row>
    <row r="329" spans="2:3" ht="15">
      <c r="B329" s="1"/>
      <c r="C329" s="1"/>
    </row>
    <row r="330" spans="2:3" ht="15">
      <c r="B330" s="1"/>
      <c r="C330" s="1"/>
    </row>
    <row r="331" spans="2:3" ht="15">
      <c r="B331" s="1"/>
      <c r="C331" s="1"/>
    </row>
    <row r="332" spans="2:3" ht="15">
      <c r="B332" s="1"/>
      <c r="C332" s="1"/>
    </row>
    <row r="333" spans="2:3" ht="15">
      <c r="B333" s="1"/>
      <c r="C333" s="1"/>
    </row>
    <row r="334" spans="2:3" ht="15">
      <c r="B334" s="1"/>
      <c r="C334" s="1"/>
    </row>
    <row r="335" spans="2:3" ht="15">
      <c r="B335" s="1"/>
      <c r="C335" s="1"/>
    </row>
    <row r="336" spans="2:3" ht="15">
      <c r="B336" s="1"/>
      <c r="C336" s="1"/>
    </row>
    <row r="337" spans="2:3" ht="15">
      <c r="B337" s="1"/>
      <c r="C337" s="1"/>
    </row>
    <row r="338" spans="2:3" ht="15">
      <c r="B338" s="1"/>
      <c r="C338" s="1"/>
    </row>
    <row r="339" spans="2:3" ht="15">
      <c r="B339" s="1"/>
      <c r="C339" s="1"/>
    </row>
    <row r="340" spans="2:3" ht="15">
      <c r="B340" s="1"/>
      <c r="C340" s="1"/>
    </row>
    <row r="341" spans="2:3" ht="15">
      <c r="B341" s="1"/>
      <c r="C341" s="1"/>
    </row>
    <row r="342" spans="2:3" ht="15">
      <c r="B342" s="1"/>
      <c r="C342" s="1"/>
    </row>
    <row r="343" spans="2:3" ht="15">
      <c r="B343" s="1"/>
      <c r="C343" s="1"/>
    </row>
    <row r="344" spans="2:3" ht="15">
      <c r="B344" s="1"/>
      <c r="C344" s="1"/>
    </row>
    <row r="345" spans="2:3" ht="15">
      <c r="B345" s="1"/>
      <c r="C345" s="1"/>
    </row>
    <row r="346" spans="2:3" ht="15">
      <c r="B346" s="1"/>
      <c r="C346" s="1"/>
    </row>
    <row r="347" spans="2:3" ht="15">
      <c r="B347" s="1"/>
      <c r="C347" s="1"/>
    </row>
    <row r="348" spans="2:3" ht="15">
      <c r="B348" s="1"/>
      <c r="C348" s="1"/>
    </row>
    <row r="349" spans="2:3" ht="15">
      <c r="B349" s="1"/>
      <c r="C349" s="1"/>
    </row>
    <row r="350" spans="2:3" ht="15">
      <c r="B350" s="1"/>
      <c r="C350" s="1"/>
    </row>
    <row r="351" spans="2:3" ht="15">
      <c r="B351" s="1"/>
      <c r="C351" s="1"/>
    </row>
    <row r="352" spans="2:3" ht="15">
      <c r="B352" s="1"/>
      <c r="C352" s="1"/>
    </row>
    <row r="353" spans="2:3" ht="15">
      <c r="B353" s="1"/>
      <c r="C353" s="1"/>
    </row>
    <row r="354" spans="2:3" ht="15">
      <c r="B354" s="1"/>
      <c r="C354" s="1"/>
    </row>
    <row r="355" spans="2:3" ht="15">
      <c r="B355" s="1"/>
      <c r="C355" s="1"/>
    </row>
    <row r="356" spans="2:3" ht="15">
      <c r="B356" s="1"/>
      <c r="C356" s="1"/>
    </row>
    <row r="357" spans="2:3" ht="15">
      <c r="B357" s="1"/>
      <c r="C357" s="1"/>
    </row>
    <row r="358" spans="2:3" ht="15">
      <c r="B358" s="1"/>
      <c r="C358" s="1"/>
    </row>
    <row r="359" spans="2:3" ht="15">
      <c r="B359" s="1"/>
      <c r="C359" s="1"/>
    </row>
    <row r="360" spans="2:3" ht="15">
      <c r="B360" s="1"/>
      <c r="C360" s="1"/>
    </row>
    <row r="361" spans="2:3" ht="15">
      <c r="B361" s="1"/>
      <c r="C361" s="1"/>
    </row>
    <row r="362" spans="2:3" ht="15">
      <c r="B362" s="1"/>
      <c r="C362" s="1"/>
    </row>
    <row r="363" spans="2:3" ht="15">
      <c r="B363" s="1"/>
      <c r="C363" s="1"/>
    </row>
    <row r="364" spans="2:3" ht="15">
      <c r="B364" s="1"/>
      <c r="C364" s="1"/>
    </row>
    <row r="365" spans="2:3" ht="15">
      <c r="B365" s="1"/>
      <c r="C365" s="1"/>
    </row>
    <row r="366" spans="2:3" ht="15">
      <c r="B366" s="1"/>
      <c r="C366" s="1"/>
    </row>
    <row r="367" spans="2:3" ht="15">
      <c r="B367" s="1"/>
      <c r="C367" s="1"/>
    </row>
    <row r="368" spans="2:3" ht="15">
      <c r="B368" s="1"/>
      <c r="C368" s="1"/>
    </row>
    <row r="369" spans="2:3" ht="15">
      <c r="B369" s="1"/>
      <c r="C369" s="1"/>
    </row>
    <row r="370" spans="2:3" ht="15">
      <c r="B370" s="1"/>
      <c r="C370" s="1"/>
    </row>
    <row r="371" spans="2:3" ht="15">
      <c r="B371" s="1"/>
      <c r="C371" s="1"/>
    </row>
    <row r="372" spans="2:3" ht="15">
      <c r="B372" s="1"/>
      <c r="C372" s="1"/>
    </row>
    <row r="373" spans="2:3" ht="15">
      <c r="B373" s="1"/>
      <c r="C373" s="1"/>
    </row>
    <row r="374" spans="2:3" ht="15">
      <c r="B374" s="1"/>
      <c r="C374" s="1"/>
    </row>
    <row r="375" spans="2:3" ht="15">
      <c r="B375" s="1"/>
      <c r="C375" s="1"/>
    </row>
    <row r="376" spans="2:3" ht="15">
      <c r="B376" s="1"/>
      <c r="C376" s="1"/>
    </row>
    <row r="377" spans="2:3" ht="15">
      <c r="B377" s="1"/>
      <c r="C377" s="1"/>
    </row>
    <row r="378" spans="2:3" ht="15">
      <c r="B378" s="1"/>
      <c r="C378" s="1"/>
    </row>
    <row r="379" spans="2:3" ht="15">
      <c r="B379" s="1"/>
      <c r="C379" s="1"/>
    </row>
    <row r="380" spans="2:3" ht="15">
      <c r="B380" s="1"/>
      <c r="C380" s="1"/>
    </row>
    <row r="381" spans="2:3" ht="15">
      <c r="B381" s="1"/>
      <c r="C381" s="1"/>
    </row>
    <row r="382" spans="2:3" ht="15">
      <c r="B382" s="1"/>
      <c r="C382" s="1"/>
    </row>
    <row r="383" spans="2:3" ht="15">
      <c r="B383" s="1"/>
      <c r="C383" s="1"/>
    </row>
    <row r="384" spans="2:3" ht="15">
      <c r="B384" s="1"/>
      <c r="C384" s="1"/>
    </row>
    <row r="385" spans="2:3" ht="15">
      <c r="B385" s="1"/>
      <c r="C385" s="1"/>
    </row>
    <row r="386" spans="2:3" ht="15">
      <c r="B386" s="1"/>
      <c r="C386" s="1"/>
    </row>
    <row r="387" spans="2:3" ht="15">
      <c r="B387" s="1"/>
      <c r="C387" s="1"/>
    </row>
    <row r="388" spans="2:3" ht="15">
      <c r="B388" s="1"/>
      <c r="C388" s="1"/>
    </row>
    <row r="389" spans="2:3" ht="15">
      <c r="B389" s="1"/>
      <c r="C389" s="1"/>
    </row>
    <row r="390" spans="2:3" ht="15">
      <c r="B390" s="1"/>
      <c r="C390" s="1"/>
    </row>
    <row r="391" spans="2:3" ht="15">
      <c r="B391" s="1"/>
      <c r="C391" s="1"/>
    </row>
    <row r="392" spans="2:3" ht="15">
      <c r="B392" s="1"/>
      <c r="C392" s="1"/>
    </row>
    <row r="393" spans="2:3" ht="15">
      <c r="B393" s="1"/>
      <c r="C393" s="1"/>
    </row>
    <row r="394" spans="2:3" ht="15">
      <c r="B394" s="1"/>
      <c r="C394" s="1"/>
    </row>
    <row r="395" spans="2:3" ht="15">
      <c r="B395" s="1"/>
      <c r="C395" s="1"/>
    </row>
    <row r="396" spans="2:3" ht="15">
      <c r="B396" s="1"/>
      <c r="C396" s="1"/>
    </row>
    <row r="397" spans="2:3" ht="15">
      <c r="B397" s="1"/>
      <c r="C397" s="1"/>
    </row>
    <row r="398" spans="2:3" ht="15">
      <c r="B398" s="1"/>
      <c r="C398" s="1"/>
    </row>
    <row r="399" spans="2:3" ht="15">
      <c r="B399" s="1"/>
      <c r="C399" s="1"/>
    </row>
    <row r="400" spans="2:3" ht="15">
      <c r="B400" s="1"/>
      <c r="C400" s="1"/>
    </row>
    <row r="401" spans="2:3" ht="15">
      <c r="B401" s="1"/>
      <c r="C401" s="1"/>
    </row>
    <row r="402" spans="2:3" ht="15">
      <c r="B402" s="1"/>
      <c r="C402" s="1"/>
    </row>
    <row r="403" spans="2:3" ht="15">
      <c r="B403" s="1"/>
      <c r="C403" s="1"/>
    </row>
    <row r="404" spans="2:3" ht="15">
      <c r="B404" s="1"/>
      <c r="C404" s="1"/>
    </row>
    <row r="405" spans="2:3" ht="15">
      <c r="B405" s="1"/>
      <c r="C405" s="1"/>
    </row>
    <row r="406" spans="2:3" ht="15">
      <c r="B406" s="1"/>
      <c r="C406" s="1"/>
    </row>
    <row r="407" spans="2:3" ht="15">
      <c r="B407" s="1"/>
      <c r="C407" s="1"/>
    </row>
    <row r="408" spans="2:3" ht="15">
      <c r="B408" s="1"/>
      <c r="C408" s="1"/>
    </row>
    <row r="409" spans="2:3" ht="15">
      <c r="B409" s="1"/>
      <c r="C409" s="1"/>
    </row>
    <row r="410" spans="2:3" ht="15">
      <c r="B410" s="1"/>
      <c r="C410" s="1"/>
    </row>
    <row r="411" spans="2:3" ht="15">
      <c r="B411" s="1"/>
      <c r="C411" s="1"/>
    </row>
    <row r="412" spans="2:3" ht="15">
      <c r="B412" s="1"/>
      <c r="C412" s="1"/>
    </row>
    <row r="413" spans="2:3" ht="15">
      <c r="B413" s="1"/>
      <c r="C413" s="1"/>
    </row>
    <row r="414" spans="2:3" ht="15">
      <c r="B414" s="1"/>
      <c r="C414" s="1"/>
    </row>
    <row r="415" spans="2:3" ht="15">
      <c r="B415" s="1"/>
      <c r="C415" s="1"/>
    </row>
    <row r="416" spans="2:3" ht="15">
      <c r="B416" s="1"/>
      <c r="C416" s="1"/>
    </row>
    <row r="417" spans="2:3" ht="15">
      <c r="B417" s="1"/>
      <c r="C417" s="1"/>
    </row>
    <row r="418" spans="2:3" ht="15">
      <c r="B418" s="1"/>
      <c r="C418" s="1"/>
    </row>
    <row r="419" spans="2:3" ht="15">
      <c r="B419" s="1"/>
      <c r="C419" s="1"/>
    </row>
    <row r="420" spans="2:3" ht="15">
      <c r="B420" s="1"/>
      <c r="C420" s="1"/>
    </row>
    <row r="421" spans="2:3" ht="15">
      <c r="B421" s="1"/>
      <c r="C421" s="1"/>
    </row>
    <row r="422" spans="2:3" ht="15">
      <c r="B422" s="1"/>
      <c r="C422" s="1"/>
    </row>
    <row r="423" spans="2:3" ht="15">
      <c r="B423" s="1"/>
      <c r="C423" s="1"/>
    </row>
    <row r="424" spans="2:3" ht="15">
      <c r="B424" s="1"/>
      <c r="C424" s="1"/>
    </row>
    <row r="425" spans="2:3" ht="15">
      <c r="B425" s="1"/>
      <c r="C425" s="1"/>
    </row>
    <row r="426" spans="2:3" ht="15">
      <c r="B426" s="1"/>
      <c r="C426" s="1"/>
    </row>
    <row r="427" spans="2:3" ht="15">
      <c r="B427" s="1"/>
      <c r="C427" s="1"/>
    </row>
    <row r="428" spans="2:3" ht="15">
      <c r="B428" s="1"/>
      <c r="C428" s="1"/>
    </row>
    <row r="429" spans="2:3" ht="15">
      <c r="B429" s="1"/>
      <c r="C429" s="1"/>
    </row>
    <row r="430" spans="2:3" ht="15">
      <c r="B430" s="1"/>
      <c r="C430" s="1"/>
    </row>
    <row r="431" spans="2:3" ht="15">
      <c r="B431" s="1"/>
      <c r="C431" s="1"/>
    </row>
    <row r="432" spans="2:3" ht="15">
      <c r="B432" s="1"/>
      <c r="C432" s="1"/>
    </row>
    <row r="433" spans="2:3" ht="15">
      <c r="B433" s="1"/>
      <c r="C433" s="1"/>
    </row>
    <row r="434" spans="2:3" ht="15">
      <c r="B434" s="1"/>
      <c r="C434" s="1"/>
    </row>
    <row r="435" spans="2:3" ht="15">
      <c r="B435" s="1"/>
      <c r="C435" s="1"/>
    </row>
    <row r="436" spans="2:3" ht="15">
      <c r="B436" s="1"/>
      <c r="C436" s="1"/>
    </row>
    <row r="437" spans="2:3" ht="15">
      <c r="B437" s="1"/>
      <c r="C437" s="1"/>
    </row>
    <row r="438" spans="2:3" ht="15">
      <c r="B438" s="1"/>
      <c r="C438" s="1"/>
    </row>
    <row r="439" spans="2:3" ht="15">
      <c r="B439" s="1"/>
      <c r="C439" s="1"/>
    </row>
    <row r="440" spans="2:3" ht="15">
      <c r="B440" s="1"/>
      <c r="C440" s="1"/>
    </row>
    <row r="441" spans="2:3" ht="15">
      <c r="B441" s="1"/>
      <c r="C441" s="1"/>
    </row>
    <row r="442" spans="2:3" ht="15">
      <c r="B442" s="1"/>
      <c r="C442" s="1"/>
    </row>
    <row r="443" spans="2:3" ht="15">
      <c r="B443" s="1"/>
      <c r="C443" s="1"/>
    </row>
    <row r="444" spans="2:3" ht="15">
      <c r="B444" s="1"/>
      <c r="C444" s="1"/>
    </row>
    <row r="445" spans="2:3" ht="15">
      <c r="B445" s="1"/>
      <c r="C445" s="1"/>
    </row>
    <row r="446" spans="2:3" ht="15">
      <c r="B446" s="1"/>
      <c r="C446" s="1"/>
    </row>
    <row r="447" spans="2:3" ht="15">
      <c r="B447" s="1"/>
      <c r="C447" s="1"/>
    </row>
    <row r="448" spans="2:3" ht="15">
      <c r="B448" s="1"/>
      <c r="C448" s="1"/>
    </row>
    <row r="449" spans="2:3" ht="15">
      <c r="B449" s="1"/>
      <c r="C449" s="1"/>
    </row>
    <row r="450" spans="2:3" ht="15">
      <c r="B450" s="1"/>
      <c r="C450" s="1"/>
    </row>
    <row r="451" spans="2:3" ht="15">
      <c r="B451" s="1"/>
      <c r="C451" s="1"/>
    </row>
    <row r="452" spans="2:3" ht="15">
      <c r="B452" s="1"/>
      <c r="C452" s="1"/>
    </row>
    <row r="453" spans="2:3" ht="15">
      <c r="B453" s="1"/>
      <c r="C453" s="1"/>
    </row>
    <row r="454" spans="2:3" ht="15">
      <c r="B454" s="1"/>
      <c r="C454" s="1"/>
    </row>
    <row r="455" spans="2:3" ht="15">
      <c r="B455" s="1"/>
      <c r="C455" s="1"/>
    </row>
    <row r="456" spans="2:3" ht="15">
      <c r="B456" s="1"/>
      <c r="C456" s="1"/>
    </row>
    <row r="457" spans="2:3" ht="15">
      <c r="B457" s="1"/>
      <c r="C457" s="1"/>
    </row>
    <row r="458" spans="2:3" ht="15">
      <c r="B458" s="1"/>
      <c r="C458" s="1"/>
    </row>
    <row r="459" spans="2:3" ht="15">
      <c r="B459" s="1"/>
      <c r="C459" s="1"/>
    </row>
    <row r="460" spans="2:3" ht="15">
      <c r="B460" s="1"/>
      <c r="C460" s="1"/>
    </row>
    <row r="461" spans="2:3" ht="15">
      <c r="B461" s="1"/>
      <c r="C461" s="1"/>
    </row>
    <row r="462" spans="2:3" ht="15">
      <c r="B462" s="1"/>
      <c r="C462" s="1"/>
    </row>
    <row r="463" spans="2:3" ht="15">
      <c r="B463" s="1"/>
      <c r="C463" s="1"/>
    </row>
    <row r="464" spans="2:3" ht="15">
      <c r="B464" s="1"/>
      <c r="C464" s="1"/>
    </row>
    <row r="465" spans="2:3" ht="15">
      <c r="B465" s="1"/>
      <c r="C465" s="1"/>
    </row>
    <row r="466" spans="2:3" ht="15">
      <c r="B466" s="1"/>
      <c r="C466" s="1"/>
    </row>
    <row r="467" spans="2:3" ht="15">
      <c r="B467" s="1"/>
      <c r="C467" s="1"/>
    </row>
    <row r="468" spans="2:3" ht="15">
      <c r="B468" s="1"/>
      <c r="C468" s="1"/>
    </row>
    <row r="469" spans="2:3" ht="15">
      <c r="B469" s="1"/>
      <c r="C469" s="1"/>
    </row>
    <row r="470" spans="2:3" ht="15">
      <c r="B470" s="1"/>
      <c r="C470" s="1"/>
    </row>
    <row r="471" spans="2:3" ht="15">
      <c r="B471" s="1"/>
      <c r="C471" s="1"/>
    </row>
    <row r="472" spans="2:3" ht="15">
      <c r="B472" s="1"/>
      <c r="C472" s="1"/>
    </row>
    <row r="473" spans="2:3" ht="15">
      <c r="B473" s="1"/>
      <c r="C473" s="1"/>
    </row>
    <row r="474" spans="2:3" ht="15">
      <c r="B474" s="1"/>
      <c r="C474" s="1"/>
    </row>
    <row r="475" spans="2:3" ht="15">
      <c r="B475" s="1"/>
      <c r="C475" s="1"/>
    </row>
    <row r="476" spans="2:3" ht="15">
      <c r="B476" s="1"/>
      <c r="C476" s="1"/>
    </row>
    <row r="477" spans="2:3" ht="15">
      <c r="B477" s="1"/>
      <c r="C477" s="1"/>
    </row>
    <row r="478" spans="2:3" ht="15">
      <c r="B478" s="1"/>
      <c r="C478" s="1"/>
    </row>
    <row r="479" spans="2:3" ht="15">
      <c r="B479" s="1"/>
      <c r="C479" s="1"/>
    </row>
    <row r="480" spans="2:3" ht="15">
      <c r="B480" s="1"/>
      <c r="C480" s="1"/>
    </row>
    <row r="481" spans="2:3" ht="15">
      <c r="B481" s="1"/>
      <c r="C481" s="1"/>
    </row>
    <row r="482" spans="2:3" ht="15">
      <c r="B482" s="1"/>
      <c r="C482" s="1"/>
    </row>
    <row r="483" spans="2:3" ht="15">
      <c r="B483" s="1"/>
      <c r="C483" s="1"/>
    </row>
    <row r="484" spans="2:3" ht="15">
      <c r="B484" s="1"/>
      <c r="C484" s="1"/>
    </row>
    <row r="485" spans="2:3" ht="15">
      <c r="B485" s="1"/>
      <c r="C485" s="1"/>
    </row>
    <row r="486" spans="2:3" ht="15">
      <c r="B486" s="1"/>
      <c r="C486" s="1"/>
    </row>
    <row r="487" spans="2:3" ht="15">
      <c r="B487" s="1"/>
      <c r="C487" s="1"/>
    </row>
    <row r="488" spans="2:3" ht="15">
      <c r="B488" s="1"/>
      <c r="C488" s="1"/>
    </row>
    <row r="489" spans="2:3" ht="15">
      <c r="B489" s="1"/>
      <c r="C489" s="1"/>
    </row>
    <row r="490" spans="2:3" ht="15">
      <c r="B490" s="1"/>
      <c r="C490" s="1"/>
    </row>
    <row r="491" spans="2:3" ht="15">
      <c r="B491" s="1"/>
      <c r="C491" s="1"/>
    </row>
    <row r="492" spans="2:3" ht="15">
      <c r="B492" s="1"/>
      <c r="C492" s="1"/>
    </row>
    <row r="493" spans="2:3" ht="15">
      <c r="B493" s="1"/>
      <c r="C493" s="1"/>
    </row>
    <row r="494" spans="2:3" ht="15">
      <c r="B494" s="1"/>
      <c r="C494" s="1"/>
    </row>
    <row r="495" spans="2:3" ht="15">
      <c r="B495" s="1"/>
      <c r="C495" s="1"/>
    </row>
    <row r="496" spans="2:3" ht="15">
      <c r="B496" s="1"/>
      <c r="C496" s="1"/>
    </row>
    <row r="497" spans="2:3" ht="15">
      <c r="B497" s="1"/>
      <c r="C497" s="1"/>
    </row>
  </sheetData>
  <sheetProtection/>
  <mergeCells count="10">
    <mergeCell ref="A2:H2"/>
    <mergeCell ref="A3:H3"/>
    <mergeCell ref="A4:H4"/>
    <mergeCell ref="A6:H6"/>
    <mergeCell ref="H8:H10"/>
    <mergeCell ref="A8:A10"/>
    <mergeCell ref="E8:E10"/>
    <mergeCell ref="D8:D10"/>
    <mergeCell ref="G8:G10"/>
    <mergeCell ref="F8:F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3"/>
  <sheetViews>
    <sheetView view="pageBreakPreview" zoomScaleNormal="75" zoomScaleSheetLayoutView="100" zoomScalePageLayoutView="0" workbookViewId="0" topLeftCell="A8">
      <selection activeCell="E26" sqref="E26"/>
    </sheetView>
  </sheetViews>
  <sheetFormatPr defaultColWidth="11.421875" defaultRowHeight="12.75"/>
  <cols>
    <col min="2" max="2" width="35.421875" style="0" customWidth="1"/>
    <col min="3" max="3" width="30.57421875" style="0" customWidth="1"/>
    <col min="4" max="4" width="29.140625" style="0" customWidth="1"/>
    <col min="5" max="5" width="22.140625" style="0" bestFit="1" customWidth="1"/>
    <col min="6" max="6" width="14.140625" style="0" customWidth="1"/>
    <col min="7" max="7" width="14.8515625" style="0" bestFit="1" customWidth="1"/>
    <col min="8" max="8" width="12.28125" style="0" bestFit="1" customWidth="1"/>
  </cols>
  <sheetData>
    <row r="1" spans="2:4" ht="6" customHeight="1">
      <c r="B1" s="11"/>
      <c r="C1" s="11"/>
      <c r="D1" s="11"/>
    </row>
    <row r="2" spans="2:4" ht="15">
      <c r="B2" s="199" t="s">
        <v>38</v>
      </c>
      <c r="C2" s="199"/>
      <c r="D2" s="199"/>
    </row>
    <row r="3" spans="2:4" ht="15">
      <c r="B3" s="199" t="s">
        <v>36</v>
      </c>
      <c r="C3" s="199"/>
      <c r="D3" s="199"/>
    </row>
    <row r="4" spans="2:4" ht="15">
      <c r="B4" s="199" t="s">
        <v>212</v>
      </c>
      <c r="C4" s="199"/>
      <c r="D4" s="199"/>
    </row>
    <row r="5" spans="2:4" ht="12.75">
      <c r="B5" s="11"/>
      <c r="C5" s="11"/>
      <c r="D5" s="11"/>
    </row>
    <row r="6" spans="2:5" ht="15">
      <c r="B6" s="186" t="s">
        <v>228</v>
      </c>
      <c r="C6" s="187"/>
      <c r="D6" s="43" t="s">
        <v>25</v>
      </c>
      <c r="E6" s="43" t="s">
        <v>170</v>
      </c>
    </row>
    <row r="7" spans="2:5" ht="12.75">
      <c r="B7" s="188" t="s">
        <v>230</v>
      </c>
      <c r="C7" s="189"/>
      <c r="D7" s="13"/>
      <c r="E7" s="13"/>
    </row>
    <row r="8" spans="2:5" ht="12.75">
      <c r="B8" s="190" t="s">
        <v>231</v>
      </c>
      <c r="C8" s="191"/>
      <c r="D8" s="13"/>
      <c r="E8" s="13">
        <v>816692</v>
      </c>
    </row>
    <row r="9" spans="2:5" ht="12.75">
      <c r="B9" s="196" t="s">
        <v>232</v>
      </c>
      <c r="C9" s="196"/>
      <c r="D9" s="13"/>
      <c r="E9" s="13"/>
    </row>
    <row r="10" spans="2:5" ht="12.75">
      <c r="B10" s="190" t="s">
        <v>233</v>
      </c>
      <c r="C10" s="191"/>
      <c r="D10" s="13"/>
      <c r="E10" s="13"/>
    </row>
    <row r="11" spans="2:5" ht="12.75">
      <c r="B11" s="190" t="s">
        <v>234</v>
      </c>
      <c r="C11" s="191"/>
      <c r="D11" s="13"/>
      <c r="E11" s="13"/>
    </row>
    <row r="12" spans="2:5" ht="12.75">
      <c r="B12" s="190"/>
      <c r="C12" s="191"/>
      <c r="D12" s="13"/>
      <c r="E12" s="13"/>
    </row>
    <row r="13" spans="2:5" ht="12.75">
      <c r="B13" s="192"/>
      <c r="C13" s="193"/>
      <c r="D13" s="126"/>
      <c r="E13" s="126"/>
    </row>
    <row r="14" spans="2:5" ht="12.75">
      <c r="B14" s="194" t="s">
        <v>117</v>
      </c>
      <c r="C14" s="195"/>
      <c r="D14" s="12">
        <f>SUM(D7:D13)</f>
        <v>0</v>
      </c>
      <c r="E14" s="12">
        <f>SUM(E7:E13)</f>
        <v>816692</v>
      </c>
    </row>
    <row r="15" spans="2:44" ht="15">
      <c r="B15" s="42"/>
      <c r="C15" s="42"/>
      <c r="D15" s="4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5" ht="38.25" customHeight="1">
      <c r="B16" s="186" t="s">
        <v>108</v>
      </c>
      <c r="C16" s="187"/>
      <c r="D16" s="43" t="s">
        <v>25</v>
      </c>
      <c r="E16" s="43" t="s">
        <v>170</v>
      </c>
    </row>
    <row r="17" spans="2:5" ht="24" customHeight="1">
      <c r="B17" s="188" t="s">
        <v>109</v>
      </c>
      <c r="C17" s="189"/>
      <c r="D17" s="13">
        <v>2340262</v>
      </c>
      <c r="E17" s="13">
        <v>13557738</v>
      </c>
    </row>
    <row r="18" spans="2:5" ht="24" customHeight="1">
      <c r="B18" s="190" t="s">
        <v>99</v>
      </c>
      <c r="C18" s="191"/>
      <c r="D18" s="13"/>
      <c r="E18" s="13">
        <f>3022552-348552</f>
        <v>2674000</v>
      </c>
    </row>
    <row r="19" spans="2:5" ht="24" customHeight="1">
      <c r="B19" s="155" t="s">
        <v>172</v>
      </c>
      <c r="C19" s="156"/>
      <c r="D19" s="13">
        <v>923766</v>
      </c>
      <c r="E19" s="13">
        <v>162151</v>
      </c>
    </row>
    <row r="20" spans="2:5" ht="24" customHeight="1">
      <c r="B20" s="155" t="s">
        <v>173</v>
      </c>
      <c r="C20" s="156"/>
      <c r="D20" s="13">
        <f>893+14000</f>
        <v>14893</v>
      </c>
      <c r="E20" s="13">
        <v>84900</v>
      </c>
    </row>
    <row r="21" spans="2:5" ht="24" customHeight="1">
      <c r="B21" s="155" t="s">
        <v>171</v>
      </c>
      <c r="C21" s="156"/>
      <c r="D21" s="13">
        <v>2000000</v>
      </c>
      <c r="E21" s="13"/>
    </row>
    <row r="22" spans="2:5" ht="24" customHeight="1">
      <c r="B22" s="155" t="s">
        <v>219</v>
      </c>
      <c r="C22" s="156"/>
      <c r="D22" s="13"/>
      <c r="E22" s="13">
        <v>1825000</v>
      </c>
    </row>
    <row r="23" spans="2:5" ht="24" customHeight="1">
      <c r="B23" s="190" t="s">
        <v>235</v>
      </c>
      <c r="C23" s="191"/>
      <c r="D23" s="13"/>
      <c r="E23" s="13">
        <v>12050000</v>
      </c>
    </row>
    <row r="24" spans="2:5" ht="24" customHeight="1">
      <c r="B24" s="196" t="s">
        <v>236</v>
      </c>
      <c r="C24" s="196"/>
      <c r="D24" s="13"/>
      <c r="E24" s="13"/>
    </row>
    <row r="25" spans="2:5" ht="24" customHeight="1">
      <c r="B25" s="192" t="s">
        <v>46</v>
      </c>
      <c r="C25" s="193"/>
      <c r="D25" s="126">
        <v>95000</v>
      </c>
      <c r="E25" s="126">
        <v>700000</v>
      </c>
    </row>
    <row r="26" spans="2:5" ht="33" customHeight="1">
      <c r="B26" s="194" t="s">
        <v>117</v>
      </c>
      <c r="C26" s="195"/>
      <c r="D26" s="12">
        <f>SUM(D17:D25)</f>
        <v>5373921</v>
      </c>
      <c r="E26" s="12">
        <f>SUM(E17:E25)</f>
        <v>31053789</v>
      </c>
    </row>
    <row r="27" spans="2:44" ht="15">
      <c r="B27" s="42"/>
      <c r="C27" s="42"/>
      <c r="D27" s="4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5" ht="45" customHeight="1">
      <c r="B28" s="200" t="s">
        <v>116</v>
      </c>
      <c r="C28" s="200"/>
      <c r="D28" s="43" t="s">
        <v>25</v>
      </c>
      <c r="E28" s="43" t="s">
        <v>170</v>
      </c>
    </row>
    <row r="29" spans="2:5" ht="26.25" customHeight="1">
      <c r="B29" s="197" t="s">
        <v>158</v>
      </c>
      <c r="C29" s="198"/>
      <c r="D29" s="135">
        <v>30000000</v>
      </c>
      <c r="E29" s="135">
        <v>30000000</v>
      </c>
    </row>
    <row r="30" spans="2:12" ht="26.25" customHeight="1">
      <c r="B30" s="197" t="s">
        <v>119</v>
      </c>
      <c r="C30" s="198"/>
      <c r="D30" s="135">
        <v>0</v>
      </c>
      <c r="E30" s="135">
        <f>9369662-434512</f>
        <v>8935150</v>
      </c>
      <c r="F30" s="33"/>
      <c r="G30" s="3"/>
      <c r="H30" s="3"/>
      <c r="I30" s="3"/>
      <c r="J30" s="3"/>
      <c r="K30" s="3"/>
      <c r="L30" s="3"/>
    </row>
    <row r="31" spans="2:12" ht="26.25" customHeight="1">
      <c r="B31" s="133" t="s">
        <v>167</v>
      </c>
      <c r="C31" s="134"/>
      <c r="D31" s="135">
        <v>0</v>
      </c>
      <c r="E31" s="135"/>
      <c r="F31" s="33"/>
      <c r="G31" s="3"/>
      <c r="H31" s="3"/>
      <c r="I31" s="3"/>
      <c r="J31" s="3"/>
      <c r="K31" s="3"/>
      <c r="L31" s="3"/>
    </row>
    <row r="32" spans="2:12" ht="26.25" customHeight="1">
      <c r="B32" s="192" t="s">
        <v>151</v>
      </c>
      <c r="C32" s="193"/>
      <c r="D32" s="126">
        <v>0</v>
      </c>
      <c r="E32" s="126"/>
      <c r="F32" s="33"/>
      <c r="G32" s="3"/>
      <c r="H32" s="3"/>
      <c r="I32" s="3"/>
      <c r="J32" s="3"/>
      <c r="K32" s="3"/>
      <c r="L32" s="3"/>
    </row>
    <row r="33" spans="2:12" ht="26.25" customHeight="1">
      <c r="B33" s="192" t="s">
        <v>237</v>
      </c>
      <c r="C33" s="193"/>
      <c r="D33" s="126">
        <v>85088400</v>
      </c>
      <c r="E33" s="126"/>
      <c r="F33" s="33"/>
      <c r="G33" s="3"/>
      <c r="H33" s="3"/>
      <c r="I33" s="3"/>
      <c r="J33" s="3"/>
      <c r="K33" s="3"/>
      <c r="L33" s="3"/>
    </row>
    <row r="34" spans="2:12" ht="29.25" customHeight="1">
      <c r="B34" s="196" t="s">
        <v>135</v>
      </c>
      <c r="C34" s="196"/>
      <c r="D34" s="86">
        <v>207573568.99830335</v>
      </c>
      <c r="E34" s="86">
        <f>+GASTOS!F45</f>
        <v>191681680</v>
      </c>
      <c r="F34" s="87"/>
      <c r="G34" s="87"/>
      <c r="H34" s="3"/>
      <c r="I34" s="3"/>
      <c r="J34" s="3"/>
      <c r="K34" s="3"/>
      <c r="L34" s="3"/>
    </row>
    <row r="35" spans="2:12" ht="26.25" customHeight="1">
      <c r="B35" s="196" t="s">
        <v>136</v>
      </c>
      <c r="C35" s="196"/>
      <c r="D35" s="86">
        <v>0</v>
      </c>
      <c r="E35" s="86"/>
      <c r="F35" s="87"/>
      <c r="G35" s="88"/>
      <c r="H35" s="3"/>
      <c r="I35" s="3"/>
      <c r="J35" s="3"/>
      <c r="K35" s="3"/>
      <c r="L35" s="3"/>
    </row>
    <row r="36" spans="2:12" ht="30" customHeight="1">
      <c r="B36" s="196" t="s">
        <v>137</v>
      </c>
      <c r="C36" s="196"/>
      <c r="D36" s="14">
        <v>57547834.62478792</v>
      </c>
      <c r="E36" s="14">
        <f>+GASTOS!F46/2</f>
        <v>55561348.5</v>
      </c>
      <c r="F36" s="87"/>
      <c r="G36" s="88"/>
      <c r="H36" s="87"/>
      <c r="I36" s="3"/>
      <c r="J36" s="3"/>
      <c r="K36" s="3"/>
      <c r="L36" s="3"/>
    </row>
    <row r="37" spans="2:12" ht="30" customHeight="1">
      <c r="B37" s="196" t="s">
        <v>159</v>
      </c>
      <c r="C37" s="196"/>
      <c r="D37" s="14">
        <v>0</v>
      </c>
      <c r="E37" s="14"/>
      <c r="F37" s="3"/>
      <c r="G37" s="88"/>
      <c r="H37" s="3"/>
      <c r="I37" s="3"/>
      <c r="J37" s="3"/>
      <c r="K37" s="3"/>
      <c r="L37" s="3"/>
    </row>
    <row r="38" spans="2:12" ht="30" customHeight="1">
      <c r="B38" s="196" t="s">
        <v>218</v>
      </c>
      <c r="C38" s="196"/>
      <c r="D38" s="14"/>
      <c r="E38" s="14">
        <v>31210814</v>
      </c>
      <c r="F38" s="3"/>
      <c r="G38" s="88"/>
      <c r="H38" s="3"/>
      <c r="I38" s="3"/>
      <c r="J38" s="3"/>
      <c r="K38" s="3"/>
      <c r="L38" s="3"/>
    </row>
    <row r="39" spans="2:12" ht="30" customHeight="1">
      <c r="B39" s="196" t="s">
        <v>217</v>
      </c>
      <c r="C39" s="196"/>
      <c r="D39" s="14">
        <v>0</v>
      </c>
      <c r="E39" s="14">
        <v>46934966</v>
      </c>
      <c r="F39" s="3"/>
      <c r="G39" s="88"/>
      <c r="H39" s="3"/>
      <c r="I39" s="3"/>
      <c r="J39" s="3"/>
      <c r="K39" s="3"/>
      <c r="L39" s="3"/>
    </row>
    <row r="40" spans="2:12" ht="30" customHeight="1">
      <c r="B40" s="196" t="s">
        <v>238</v>
      </c>
      <c r="C40" s="196"/>
      <c r="D40" s="14"/>
      <c r="E40" s="14">
        <f>+(((3569101*3)/2)*80%)+((13270552*3)*80%)</f>
        <v>36132246</v>
      </c>
      <c r="F40" s="3"/>
      <c r="G40" s="88"/>
      <c r="H40" s="3"/>
      <c r="I40" s="3"/>
      <c r="J40" s="3"/>
      <c r="K40" s="3"/>
      <c r="L40" s="3"/>
    </row>
    <row r="41" spans="2:12" ht="33" customHeight="1">
      <c r="B41" s="201" t="s">
        <v>118</v>
      </c>
      <c r="C41" s="201"/>
      <c r="D41" s="12">
        <f>SUM(D29:D40)</f>
        <v>380209803.6230913</v>
      </c>
      <c r="E41" s="12">
        <f>SUM(E29:E40)</f>
        <v>400456204.5</v>
      </c>
      <c r="F41" s="3"/>
      <c r="G41" s="3"/>
      <c r="H41" s="3"/>
      <c r="I41" s="3"/>
      <c r="J41" s="3"/>
      <c r="K41" s="3"/>
      <c r="L41" s="3"/>
    </row>
    <row r="42" spans="1:12" s="50" customFormat="1" ht="12.75" customHeight="1">
      <c r="A4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2:5" ht="38.25" customHeight="1">
      <c r="B43" s="186" t="s">
        <v>221</v>
      </c>
      <c r="C43" s="187"/>
      <c r="D43" s="43"/>
      <c r="E43" s="43" t="s">
        <v>170</v>
      </c>
    </row>
    <row r="44" spans="2:5" ht="24" customHeight="1">
      <c r="B44" s="188" t="s">
        <v>226</v>
      </c>
      <c r="C44" s="189"/>
      <c r="D44" s="13"/>
      <c r="E44" s="13">
        <f>4185415-65504</f>
        <v>4119911</v>
      </c>
    </row>
    <row r="45" spans="2:5" ht="24" customHeight="1">
      <c r="B45" s="188" t="s">
        <v>220</v>
      </c>
      <c r="C45" s="189"/>
      <c r="D45" s="13"/>
      <c r="E45" s="13">
        <v>7474</v>
      </c>
    </row>
    <row r="46" spans="2:5" ht="24" customHeight="1">
      <c r="B46" s="155" t="s">
        <v>222</v>
      </c>
      <c r="C46" s="156"/>
      <c r="D46" s="13"/>
      <c r="E46" s="13">
        <v>215</v>
      </c>
    </row>
    <row r="47" spans="2:5" ht="24" customHeight="1">
      <c r="B47" s="155" t="s">
        <v>223</v>
      </c>
      <c r="C47" s="156"/>
      <c r="D47" s="13"/>
      <c r="E47" s="13">
        <v>984622</v>
      </c>
    </row>
    <row r="48" spans="2:5" ht="24" customHeight="1">
      <c r="B48" s="155" t="s">
        <v>225</v>
      </c>
      <c r="C48" s="156"/>
      <c r="D48" s="13"/>
      <c r="E48" s="13">
        <v>2186560</v>
      </c>
    </row>
    <row r="49" spans="2:5" ht="24" customHeight="1">
      <c r="B49" s="155" t="s">
        <v>227</v>
      </c>
      <c r="C49" s="156"/>
      <c r="D49" s="13"/>
      <c r="E49" s="13">
        <v>21078.8</v>
      </c>
    </row>
    <row r="50" spans="2:5" ht="24" customHeight="1">
      <c r="B50" s="155" t="s">
        <v>224</v>
      </c>
      <c r="C50" s="156"/>
      <c r="D50" s="13"/>
      <c r="E50" s="13">
        <v>2243</v>
      </c>
    </row>
    <row r="51" spans="2:5" ht="33" customHeight="1">
      <c r="B51" s="194" t="s">
        <v>229</v>
      </c>
      <c r="C51" s="195"/>
      <c r="D51" s="12">
        <f>SUM(D44:D50)</f>
        <v>0</v>
      </c>
      <c r="E51" s="12">
        <f>SUM(E44:E50)</f>
        <v>7322103.8</v>
      </c>
    </row>
    <row r="52" spans="2:4" ht="16.5">
      <c r="B52" s="6"/>
      <c r="C52" s="6"/>
      <c r="D52" s="6"/>
    </row>
    <row r="53" spans="2:4" ht="16.5">
      <c r="B53" s="6"/>
      <c r="C53" s="6"/>
      <c r="D53" s="6"/>
    </row>
  </sheetData>
  <sheetProtection/>
  <mergeCells count="36">
    <mergeCell ref="B25:C25"/>
    <mergeCell ref="B26:C26"/>
    <mergeCell ref="B51:C51"/>
    <mergeCell ref="B40:C40"/>
    <mergeCell ref="B38:C38"/>
    <mergeCell ref="B43:C43"/>
    <mergeCell ref="B44:C44"/>
    <mergeCell ref="B45:C45"/>
    <mergeCell ref="B41:C41"/>
    <mergeCell ref="B39:C39"/>
    <mergeCell ref="B23:C23"/>
    <mergeCell ref="B24:C24"/>
    <mergeCell ref="B2:D2"/>
    <mergeCell ref="B3:D3"/>
    <mergeCell ref="B4:D4"/>
    <mergeCell ref="B29:C29"/>
    <mergeCell ref="B18:C18"/>
    <mergeCell ref="B16:C16"/>
    <mergeCell ref="B17:C17"/>
    <mergeCell ref="B28:C28"/>
    <mergeCell ref="B30:C30"/>
    <mergeCell ref="B34:C34"/>
    <mergeCell ref="B35:C35"/>
    <mergeCell ref="B37:C37"/>
    <mergeCell ref="B36:C36"/>
    <mergeCell ref="B32:C32"/>
    <mergeCell ref="B33:C33"/>
    <mergeCell ref="B6:C6"/>
    <mergeCell ref="B7:C7"/>
    <mergeCell ref="B8:C8"/>
    <mergeCell ref="B13:C13"/>
    <mergeCell ref="B14:C14"/>
    <mergeCell ref="B9:C9"/>
    <mergeCell ref="B10:C10"/>
    <mergeCell ref="B11:C11"/>
    <mergeCell ref="B12:C12"/>
  </mergeCells>
  <printOptions horizontalCentered="1" verticalCentered="1"/>
  <pageMargins left="0.31496062992125984" right="0.1968503937007874" top="0" bottom="0.3937007874015748" header="0" footer="0"/>
  <pageSetup horizontalDpi="600" verticalDpi="600" orientation="portrait" scale="80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45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11.421875" defaultRowHeight="12.75" outlineLevelRow="2" outlineLevelCol="1"/>
  <cols>
    <col min="1" max="1" width="53.8515625" style="3" customWidth="1"/>
    <col min="2" max="2" width="17.8515625" style="3" hidden="1" customWidth="1" outlineLevel="1"/>
    <col min="3" max="3" width="21.00390625" style="3" hidden="1" customWidth="1" outlineLevel="1"/>
    <col min="4" max="4" width="21.8515625" style="3" hidden="1" customWidth="1" outlineLevel="1"/>
    <col min="5" max="5" width="16.7109375" style="3" hidden="1" customWidth="1" outlineLevel="1"/>
    <col min="6" max="6" width="19.00390625" style="3" hidden="1" customWidth="1" outlineLevel="1"/>
    <col min="7" max="7" width="20.7109375" style="3" hidden="1" customWidth="1" outlineLevel="1"/>
    <col min="8" max="8" width="25.8515625" style="3" customWidth="1" collapsed="1"/>
    <col min="9" max="9" width="27.421875" style="3" customWidth="1"/>
    <col min="10" max="10" width="21.140625" style="3" customWidth="1"/>
    <col min="11" max="11" width="15.57421875" style="3" customWidth="1"/>
    <col min="12" max="12" width="13.140625" style="3" customWidth="1"/>
    <col min="13" max="13" width="13.421875" style="3" customWidth="1"/>
    <col min="14" max="17" width="14.57421875" style="3" customWidth="1"/>
    <col min="18" max="16384" width="11.421875" style="3" customWidth="1"/>
  </cols>
  <sheetData>
    <row r="1" spans="1:11" ht="15" outlineLevel="1">
      <c r="A1" s="199" t="s">
        <v>19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" outlineLevel="1">
      <c r="A2" s="199" t="s">
        <v>36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5" outlineLevel="1">
      <c r="A3" s="199" t="s">
        <v>160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5" outlineLevel="1">
      <c r="A4" s="199" t="s">
        <v>209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15" outlineLevel="1">
      <c r="A5" s="199" t="s">
        <v>114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2" ht="15.75" outlineLevel="1" thickBot="1">
      <c r="A6" s="51"/>
      <c r="B6" s="52"/>
      <c r="C6" s="53"/>
      <c r="D6" s="52"/>
      <c r="E6" s="52"/>
      <c r="F6" s="52"/>
      <c r="G6" s="52"/>
      <c r="L6" s="5"/>
    </row>
    <row r="7" spans="1:13" ht="45.75" thickTop="1">
      <c r="A7" s="54" t="s">
        <v>26</v>
      </c>
      <c r="B7" s="55" t="s">
        <v>77</v>
      </c>
      <c r="C7" s="55" t="s">
        <v>78</v>
      </c>
      <c r="D7" s="55" t="s">
        <v>83</v>
      </c>
      <c r="E7" s="55" t="s">
        <v>79</v>
      </c>
      <c r="F7" s="55" t="s">
        <v>80</v>
      </c>
      <c r="G7" s="55" t="s">
        <v>16</v>
      </c>
      <c r="H7" s="55" t="s">
        <v>25</v>
      </c>
      <c r="I7" s="55" t="s">
        <v>170</v>
      </c>
      <c r="J7" s="55" t="s">
        <v>208</v>
      </c>
      <c r="K7" s="56" t="s">
        <v>169</v>
      </c>
      <c r="L7" s="5"/>
      <c r="M7" s="120"/>
    </row>
    <row r="8" spans="1:12" ht="15">
      <c r="A8" s="15" t="s">
        <v>81</v>
      </c>
      <c r="B8" s="17"/>
      <c r="C8" s="17"/>
      <c r="D8" s="17"/>
      <c r="E8" s="17"/>
      <c r="F8" s="17"/>
      <c r="G8" s="17"/>
      <c r="H8" s="17"/>
      <c r="I8" s="17"/>
      <c r="J8" s="17"/>
      <c r="K8" s="45"/>
      <c r="L8" s="57"/>
    </row>
    <row r="9" spans="1:14" ht="15">
      <c r="A9" s="35" t="s">
        <v>71</v>
      </c>
      <c r="B9" s="25">
        <f>+B10+B11+B12+B13+B14+B16+B17+B18</f>
        <v>205292771.05906513</v>
      </c>
      <c r="C9" s="25">
        <f>+C10+C11+C12+C13+C14+C16+C17+C18</f>
        <v>66084825.60647194</v>
      </c>
      <c r="D9" s="25">
        <f>+D10+D11+D12+D13+D14+D16+D17+D18</f>
        <v>219581223.33287787</v>
      </c>
      <c r="E9" s="25">
        <f>+E10+E11+E12+E13+E14+E16+E17+E18</f>
        <v>66618857.10165485</v>
      </c>
      <c r="F9" s="25">
        <f>+B9+C9+D9+E9</f>
        <v>557577677.1000698</v>
      </c>
      <c r="G9" s="25">
        <f>+G10+G11+G12+G13+G14+G16+G17+G18</f>
        <v>42289946.97854935</v>
      </c>
      <c r="H9" s="25">
        <f aca="true" t="shared" si="0" ref="H9:H20">+F9+G9</f>
        <v>599867624.0786191</v>
      </c>
      <c r="I9" s="25">
        <f>SUM(I10:I18)</f>
        <v>602721642</v>
      </c>
      <c r="J9" s="25">
        <f>SUM(J10:J18)</f>
        <v>-17145982.078619227</v>
      </c>
      <c r="K9" s="161">
        <f aca="true" t="shared" si="1" ref="K9:K72">+I9/H9</f>
        <v>1.004757746220701</v>
      </c>
      <c r="L9" s="5"/>
      <c r="M9" s="58"/>
      <c r="N9" s="58"/>
    </row>
    <row r="10" spans="1:16" ht="14.25">
      <c r="A10" s="19" t="s">
        <v>84</v>
      </c>
      <c r="B10" s="20">
        <f>138697856.2119-951351</f>
        <v>137746505.2119</v>
      </c>
      <c r="C10" s="20">
        <f>47230458.1995-6459</f>
        <v>47223999.1995</v>
      </c>
      <c r="D10" s="20">
        <f>148020912.2676-2271453</f>
        <v>145749459.2676</v>
      </c>
      <c r="E10" s="20">
        <f>46530953.2191+844775</f>
        <v>47375728.2191</v>
      </c>
      <c r="F10" s="20">
        <f aca="true" t="shared" si="2" ref="F10:F21">+B10+C10+D10+E10</f>
        <v>378095691.8981</v>
      </c>
      <c r="G10" s="20">
        <f>28525820.115-188481</f>
        <v>28337339.115</v>
      </c>
      <c r="H10" s="20">
        <f t="shared" si="0"/>
        <v>406433031.0131</v>
      </c>
      <c r="I10" s="20">
        <v>402239343</v>
      </c>
      <c r="J10" s="20">
        <f>+I10-H10</f>
        <v>-4193688.013100028</v>
      </c>
      <c r="K10" s="162">
        <f t="shared" si="1"/>
        <v>0.9896817244340437</v>
      </c>
      <c r="L10" s="59"/>
      <c r="P10" s="60"/>
    </row>
    <row r="11" spans="1:16" ht="14.25">
      <c r="A11" s="19" t="s">
        <v>5</v>
      </c>
      <c r="B11" s="20">
        <f>9813527.70245127+733758</f>
        <v>10547285.70245127</v>
      </c>
      <c r="C11" s="20">
        <v>2194293.4480183497</v>
      </c>
      <c r="D11" s="20">
        <f>10590138.2718911+841089</f>
        <v>11431227.2718911</v>
      </c>
      <c r="E11" s="20">
        <f>2136024.68315103+243891</f>
        <v>2379915.68315103</v>
      </c>
      <c r="F11" s="20">
        <f t="shared" si="2"/>
        <v>26552722.105511747</v>
      </c>
      <c r="G11" s="20">
        <f>2175431.1555795+66367</f>
        <v>2241798.1555795</v>
      </c>
      <c r="H11" s="20">
        <f t="shared" si="0"/>
        <v>28794520.261091247</v>
      </c>
      <c r="I11" s="20">
        <v>28702568</v>
      </c>
      <c r="J11" s="20">
        <f aca="true" t="shared" si="3" ref="J11:J20">+I11-H11</f>
        <v>-91952.2610912472</v>
      </c>
      <c r="K11" s="162">
        <f t="shared" si="1"/>
        <v>0.9968066055535053</v>
      </c>
      <c r="L11" s="59"/>
      <c r="M11" s="59"/>
      <c r="N11" s="61"/>
      <c r="O11" s="62"/>
      <c r="P11" s="62"/>
    </row>
    <row r="12" spans="1:16" ht="14.25">
      <c r="A12" s="19" t="s">
        <v>6</v>
      </c>
      <c r="B12" s="20">
        <f>1177623.32429415-516165</f>
        <v>661458.3242941501</v>
      </c>
      <c r="C12" s="20">
        <v>263315.21376220195</v>
      </c>
      <c r="D12" s="20">
        <v>1270816.59262693</v>
      </c>
      <c r="E12" s="20">
        <v>256322.96197812358</v>
      </c>
      <c r="F12" s="20">
        <f t="shared" si="2"/>
        <v>2451913.0926614054</v>
      </c>
      <c r="G12" s="20">
        <v>261051.73866954</v>
      </c>
      <c r="H12" s="20">
        <f t="shared" si="0"/>
        <v>2712964.8313309452</v>
      </c>
      <c r="I12" s="20">
        <v>242002</v>
      </c>
      <c r="J12" s="20">
        <f t="shared" si="3"/>
        <v>-2470962.8313309452</v>
      </c>
      <c r="K12" s="162">
        <f t="shared" si="1"/>
        <v>0.08920204095726407</v>
      </c>
      <c r="L12" s="59"/>
      <c r="M12" s="59"/>
      <c r="N12" s="61"/>
      <c r="O12" s="62"/>
      <c r="P12" s="62"/>
    </row>
    <row r="13" spans="1:14" ht="14.25">
      <c r="A13" s="19" t="s">
        <v>1</v>
      </c>
      <c r="B13" s="20">
        <f>9813527.70245127+733758</f>
        <v>10547285.70245127</v>
      </c>
      <c r="C13" s="20">
        <v>2194293.4480183497</v>
      </c>
      <c r="D13" s="20">
        <f>10590138.2718911+841089</f>
        <v>11431227.2718911</v>
      </c>
      <c r="E13" s="20">
        <f>2136024.68315103+243891</f>
        <v>2379915.68315103</v>
      </c>
      <c r="F13" s="20">
        <f t="shared" si="2"/>
        <v>26552722.105511747</v>
      </c>
      <c r="G13" s="20">
        <f>2175431.1555795+66367</f>
        <v>2241798.1555795</v>
      </c>
      <c r="H13" s="20">
        <f t="shared" si="0"/>
        <v>28794520.261091247</v>
      </c>
      <c r="I13" s="20">
        <v>28702568</v>
      </c>
      <c r="J13" s="20">
        <f t="shared" si="3"/>
        <v>-91952.2610912472</v>
      </c>
      <c r="K13" s="162">
        <f t="shared" si="1"/>
        <v>0.9968066055535053</v>
      </c>
      <c r="L13" s="59"/>
      <c r="M13" s="59"/>
      <c r="N13" s="61"/>
    </row>
    <row r="14" spans="1:14" ht="14.25">
      <c r="A14" s="19" t="s">
        <v>2</v>
      </c>
      <c r="B14" s="20">
        <v>5775744.244036229</v>
      </c>
      <c r="C14" s="20">
        <f>1961553.74691915+6459</f>
        <v>1968012.74691915</v>
      </c>
      <c r="D14" s="20">
        <f>6148602.96155892+589275</f>
        <v>6737877.96155892</v>
      </c>
      <c r="E14" s="20">
        <f>1932384.38923647+263311</f>
        <v>2195695.3892364698</v>
      </c>
      <c r="F14" s="20">
        <f t="shared" si="2"/>
        <v>16677330.341750767</v>
      </c>
      <c r="G14" s="20">
        <f>1065152.2787955+55747</f>
        <v>1120899.2787955</v>
      </c>
      <c r="H14" s="20">
        <f t="shared" si="0"/>
        <v>17798229.620546266</v>
      </c>
      <c r="I14" s="20">
        <v>16471524</v>
      </c>
      <c r="J14" s="20">
        <f t="shared" si="3"/>
        <v>-1326705.6205462664</v>
      </c>
      <c r="K14" s="162">
        <f t="shared" si="1"/>
        <v>0.9254585625182227</v>
      </c>
      <c r="L14" s="59"/>
      <c r="M14" s="59"/>
      <c r="N14" s="61"/>
    </row>
    <row r="15" spans="1:14" ht="14.25">
      <c r="A15" s="19" t="s">
        <v>68</v>
      </c>
      <c r="B15" s="20">
        <v>0</v>
      </c>
      <c r="C15" s="20">
        <v>0</v>
      </c>
      <c r="D15" s="20">
        <v>0</v>
      </c>
      <c r="E15" s="20">
        <v>0</v>
      </c>
      <c r="F15" s="20">
        <f t="shared" si="2"/>
        <v>0</v>
      </c>
      <c r="G15" s="20">
        <v>20000000</v>
      </c>
      <c r="H15" s="20">
        <f t="shared" si="0"/>
        <v>20000000</v>
      </c>
      <c r="I15" s="20">
        <v>13352885</v>
      </c>
      <c r="J15" s="20">
        <f t="shared" si="3"/>
        <v>-6647115</v>
      </c>
      <c r="K15" s="162">
        <f t="shared" si="1"/>
        <v>0.66764425</v>
      </c>
      <c r="L15" s="59"/>
      <c r="M15" s="59"/>
      <c r="N15" s="61"/>
    </row>
    <row r="16" spans="1:14" ht="14.25">
      <c r="A16" s="19" t="s">
        <v>3</v>
      </c>
      <c r="B16" s="20">
        <v>28112843.614861254</v>
      </c>
      <c r="C16" s="20">
        <v>8571329.11229889</v>
      </c>
      <c r="D16" s="20">
        <v>30254235.663225852</v>
      </c>
      <c r="E16" s="20">
        <v>8424279.175319202</v>
      </c>
      <c r="F16" s="20">
        <f t="shared" si="2"/>
        <v>75362687.5657052</v>
      </c>
      <c r="G16" s="20">
        <v>5788170.724575301</v>
      </c>
      <c r="H16" s="20">
        <f t="shared" si="0"/>
        <v>81150858.29028049</v>
      </c>
      <c r="I16" s="20">
        <v>79760261</v>
      </c>
      <c r="J16" s="20">
        <f t="shared" si="3"/>
        <v>-1390597.290280491</v>
      </c>
      <c r="K16" s="162">
        <f t="shared" si="1"/>
        <v>0.9828640470405592</v>
      </c>
      <c r="L16" s="59"/>
      <c r="M16" s="59"/>
      <c r="N16" s="61"/>
    </row>
    <row r="17" spans="1:14" ht="14.25">
      <c r="A17" s="19" t="s">
        <v>7</v>
      </c>
      <c r="B17" s="20">
        <v>5289621.448476002</v>
      </c>
      <c r="C17" s="20">
        <v>1630925.52798</v>
      </c>
      <c r="D17" s="20">
        <v>5647279.690704</v>
      </c>
      <c r="E17" s="20">
        <f>1602945.328764+255</f>
        <v>1603200.328764</v>
      </c>
      <c r="F17" s="20">
        <f t="shared" si="2"/>
        <v>14171026.995924</v>
      </c>
      <c r="G17" s="20">
        <v>1021728.8046</v>
      </c>
      <c r="H17" s="20">
        <f t="shared" si="0"/>
        <v>15192755.800524</v>
      </c>
      <c r="I17" s="20">
        <v>14776660</v>
      </c>
      <c r="J17" s="20">
        <f t="shared" si="3"/>
        <v>-416095.8005240001</v>
      </c>
      <c r="K17" s="162">
        <f t="shared" si="1"/>
        <v>0.9726122234841919</v>
      </c>
      <c r="L17" s="59"/>
      <c r="M17" s="59"/>
      <c r="N17" s="61"/>
    </row>
    <row r="18" spans="1:14" ht="14.25">
      <c r="A18" s="19" t="s">
        <v>4</v>
      </c>
      <c r="B18" s="20">
        <v>6612026.810595001</v>
      </c>
      <c r="C18" s="20">
        <v>2038656.9099750002</v>
      </c>
      <c r="D18" s="20">
        <v>7059099.613380001</v>
      </c>
      <c r="E18" s="20">
        <f>2003681.660955+118</f>
        <v>2003799.660955</v>
      </c>
      <c r="F18" s="20">
        <f t="shared" si="2"/>
        <v>17713582.994905002</v>
      </c>
      <c r="G18" s="20">
        <v>1277161.0057500002</v>
      </c>
      <c r="H18" s="20">
        <f t="shared" si="0"/>
        <v>18990744.000655003</v>
      </c>
      <c r="I18" s="20">
        <v>18473831</v>
      </c>
      <c r="J18" s="20">
        <f t="shared" si="3"/>
        <v>-516913.0006550029</v>
      </c>
      <c r="K18" s="162">
        <f t="shared" si="1"/>
        <v>0.9727807925462438</v>
      </c>
      <c r="L18" s="59"/>
      <c r="M18" s="59"/>
      <c r="N18" s="61"/>
    </row>
    <row r="19" spans="1:14" ht="14.25">
      <c r="A19" s="19" t="s">
        <v>82</v>
      </c>
      <c r="B19" s="20">
        <v>300000</v>
      </c>
      <c r="C19" s="20">
        <v>300000</v>
      </c>
      <c r="D19" s="20">
        <v>900000</v>
      </c>
      <c r="E19" s="20">
        <v>300000</v>
      </c>
      <c r="F19" s="20">
        <f t="shared" si="2"/>
        <v>1800000</v>
      </c>
      <c r="G19" s="20">
        <v>900000</v>
      </c>
      <c r="H19" s="20">
        <f t="shared" si="0"/>
        <v>2700000</v>
      </c>
      <c r="I19" s="20">
        <v>2396100</v>
      </c>
      <c r="J19" s="20">
        <f t="shared" si="3"/>
        <v>-303900</v>
      </c>
      <c r="K19" s="162">
        <f t="shared" si="1"/>
        <v>0.8874444444444445</v>
      </c>
      <c r="L19" s="59"/>
      <c r="M19" s="59"/>
      <c r="N19" s="61"/>
    </row>
    <row r="20" spans="1:14" ht="14.25">
      <c r="A20" s="19" t="s">
        <v>20</v>
      </c>
      <c r="B20" s="49">
        <v>12405391</v>
      </c>
      <c r="C20" s="137">
        <v>0</v>
      </c>
      <c r="D20" s="49">
        <v>0</v>
      </c>
      <c r="E20" s="49">
        <v>0</v>
      </c>
      <c r="F20" s="20">
        <f t="shared" si="2"/>
        <v>12405391</v>
      </c>
      <c r="G20" s="20">
        <v>21000000</v>
      </c>
      <c r="H20" s="20">
        <f t="shared" si="0"/>
        <v>33405391</v>
      </c>
      <c r="I20" s="20">
        <v>30088140</v>
      </c>
      <c r="J20" s="20">
        <f t="shared" si="3"/>
        <v>-3317251</v>
      </c>
      <c r="K20" s="162">
        <f t="shared" si="1"/>
        <v>0.9006971359802375</v>
      </c>
      <c r="L20" s="59"/>
      <c r="M20" s="63"/>
      <c r="N20" s="61"/>
    </row>
    <row r="21" spans="1:14" ht="15">
      <c r="A21" s="28" t="s">
        <v>73</v>
      </c>
      <c r="B21" s="18">
        <f>SUM(B10:B20)</f>
        <v>217998162.05906513</v>
      </c>
      <c r="C21" s="18">
        <f>SUM(C10:C20)</f>
        <v>66384825.60647194</v>
      </c>
      <c r="D21" s="18">
        <f>SUM(D10:D20)</f>
        <v>220481223.33287787</v>
      </c>
      <c r="E21" s="18">
        <f>SUM(E10:E20)</f>
        <v>66918857.10165485</v>
      </c>
      <c r="F21" s="18">
        <f t="shared" si="2"/>
        <v>571783068.1000698</v>
      </c>
      <c r="G21" s="18">
        <f>SUM(G10:G20)</f>
        <v>84189946.97854935</v>
      </c>
      <c r="H21" s="18">
        <f>SUM(H10:H20)</f>
        <v>655973015.0786192</v>
      </c>
      <c r="I21" s="18">
        <f>SUM(I10:I20)</f>
        <v>635205882</v>
      </c>
      <c r="J21" s="18">
        <f>SUM(J10:J20)</f>
        <v>-20767133.078619227</v>
      </c>
      <c r="K21" s="161">
        <f t="shared" si="1"/>
        <v>0.9683414826505778</v>
      </c>
      <c r="L21" s="59"/>
      <c r="M21" s="59"/>
      <c r="N21" s="61"/>
    </row>
    <row r="22" spans="1:14" ht="15">
      <c r="A22" s="15" t="s">
        <v>21</v>
      </c>
      <c r="B22" s="17"/>
      <c r="C22" s="17"/>
      <c r="D22" s="17"/>
      <c r="E22" s="17"/>
      <c r="F22" s="20"/>
      <c r="G22" s="18"/>
      <c r="H22" s="20"/>
      <c r="I22" s="20"/>
      <c r="J22" s="20"/>
      <c r="K22" s="162"/>
      <c r="L22" s="59"/>
      <c r="M22" s="59"/>
      <c r="N22" s="61"/>
    </row>
    <row r="23" spans="1:14" ht="14.25">
      <c r="A23" s="22" t="s">
        <v>28</v>
      </c>
      <c r="B23" s="46">
        <v>0</v>
      </c>
      <c r="C23" s="46">
        <v>0</v>
      </c>
      <c r="D23" s="46">
        <f>6000000-2270515</f>
        <v>3729485</v>
      </c>
      <c r="E23" s="46">
        <v>1500000</v>
      </c>
      <c r="F23" s="46">
        <f>+B23+C23+D23+E23</f>
        <v>5229485</v>
      </c>
      <c r="G23" s="20">
        <v>33919922</v>
      </c>
      <c r="H23" s="20">
        <f aca="true" t="shared" si="4" ref="H23:H36">+F23+G23</f>
        <v>39149407</v>
      </c>
      <c r="I23" s="20">
        <v>38868610</v>
      </c>
      <c r="J23" s="20">
        <f aca="true" t="shared" si="5" ref="J23:J36">+I23-H23</f>
        <v>-280797</v>
      </c>
      <c r="K23" s="162">
        <f t="shared" si="1"/>
        <v>0.9928275541951376</v>
      </c>
      <c r="M23" s="59"/>
      <c r="N23" s="61"/>
    </row>
    <row r="24" spans="1:14" ht="14.25">
      <c r="A24" s="22" t="s">
        <v>29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20">
        <v>1031700.0000000001</v>
      </c>
      <c r="H24" s="20">
        <f t="shared" si="4"/>
        <v>1031700.0000000001</v>
      </c>
      <c r="I24" s="20">
        <v>1019480</v>
      </c>
      <c r="J24" s="20">
        <f t="shared" si="5"/>
        <v>-12220.000000000116</v>
      </c>
      <c r="K24" s="162">
        <f t="shared" si="1"/>
        <v>0.9881554715518076</v>
      </c>
      <c r="L24" s="59"/>
      <c r="M24" s="59"/>
      <c r="N24" s="61"/>
    </row>
    <row r="25" spans="1:14" ht="14.25">
      <c r="A25" s="22" t="s">
        <v>30</v>
      </c>
      <c r="B25" s="46">
        <v>0</v>
      </c>
      <c r="C25" s="46">
        <v>0</v>
      </c>
      <c r="D25" s="46">
        <v>1242000</v>
      </c>
      <c r="E25" s="46">
        <v>0</v>
      </c>
      <c r="F25" s="46">
        <f aca="true" t="shared" si="6" ref="F25:F36">+B25+C25+D25+E25</f>
        <v>1242000</v>
      </c>
      <c r="G25" s="20">
        <v>4257925</v>
      </c>
      <c r="H25" s="20">
        <f t="shared" si="4"/>
        <v>5499925</v>
      </c>
      <c r="I25" s="20">
        <v>5404241.8</v>
      </c>
      <c r="J25" s="20">
        <f t="shared" si="5"/>
        <v>-95683.20000000019</v>
      </c>
      <c r="K25" s="162">
        <f t="shared" si="1"/>
        <v>0.9826028173111451</v>
      </c>
      <c r="L25" s="64"/>
      <c r="M25" s="64"/>
      <c r="N25" s="61"/>
    </row>
    <row r="26" spans="1:12" ht="14.25">
      <c r="A26" s="22" t="s">
        <v>22</v>
      </c>
      <c r="B26" s="20">
        <v>1545000</v>
      </c>
      <c r="C26" s="20">
        <v>1545000</v>
      </c>
      <c r="D26" s="46">
        <v>1545000</v>
      </c>
      <c r="E26" s="46">
        <v>1545000</v>
      </c>
      <c r="F26" s="20">
        <f t="shared" si="6"/>
        <v>6180000</v>
      </c>
      <c r="G26" s="20">
        <v>5554201.5</v>
      </c>
      <c r="H26" s="20">
        <f t="shared" si="4"/>
        <v>11734201.5</v>
      </c>
      <c r="I26" s="20">
        <v>8597139</v>
      </c>
      <c r="J26" s="20">
        <f t="shared" si="5"/>
        <v>-3137062.5</v>
      </c>
      <c r="K26" s="162">
        <f t="shared" si="1"/>
        <v>0.7326564998905124</v>
      </c>
      <c r="L26" s="5"/>
    </row>
    <row r="27" spans="1:12" ht="14.25">
      <c r="A27" s="22" t="s">
        <v>31</v>
      </c>
      <c r="B27" s="20">
        <v>2246633.273025</v>
      </c>
      <c r="C27" s="20">
        <v>1558238.92785</v>
      </c>
      <c r="D27" s="20">
        <f>3030267.198225-1861403</f>
        <v>1168864.198225</v>
      </c>
      <c r="E27" s="20">
        <v>2213003.9798250003</v>
      </c>
      <c r="F27" s="20">
        <f t="shared" si="6"/>
        <v>7186740.378925</v>
      </c>
      <c r="G27" s="20">
        <v>6395546.33405</v>
      </c>
      <c r="H27" s="20">
        <f t="shared" si="4"/>
        <v>13582286.712975</v>
      </c>
      <c r="I27" s="20">
        <v>11014566</v>
      </c>
      <c r="J27" s="20">
        <f t="shared" si="5"/>
        <v>-2567720.712974999</v>
      </c>
      <c r="K27" s="162">
        <f t="shared" si="1"/>
        <v>0.8109507797002926</v>
      </c>
      <c r="L27" s="5"/>
    </row>
    <row r="28" spans="1:12" ht="14.25">
      <c r="A28" s="22" t="s">
        <v>23</v>
      </c>
      <c r="B28" s="20">
        <v>0</v>
      </c>
      <c r="C28" s="46">
        <v>0</v>
      </c>
      <c r="D28" s="46">
        <f>4000000-266029</f>
        <v>3733971</v>
      </c>
      <c r="E28" s="46">
        <v>0</v>
      </c>
      <c r="F28" s="20">
        <f t="shared" si="6"/>
        <v>3733971</v>
      </c>
      <c r="G28" s="20">
        <v>10886324</v>
      </c>
      <c r="H28" s="20">
        <f t="shared" si="4"/>
        <v>14620295</v>
      </c>
      <c r="I28" s="20">
        <v>14446464</v>
      </c>
      <c r="J28" s="20">
        <f t="shared" si="5"/>
        <v>-173831</v>
      </c>
      <c r="K28" s="162">
        <f t="shared" si="1"/>
        <v>0.988110294628118</v>
      </c>
      <c r="L28" s="5"/>
    </row>
    <row r="29" spans="1:12" ht="14.25">
      <c r="A29" s="22" t="s">
        <v>89</v>
      </c>
      <c r="B29" s="20">
        <v>3000000</v>
      </c>
      <c r="C29" s="20">
        <v>5000000</v>
      </c>
      <c r="D29" s="20">
        <v>41544000</v>
      </c>
      <c r="E29" s="46">
        <f>9090909-1596241</f>
        <v>7494668</v>
      </c>
      <c r="F29" s="20">
        <f t="shared" si="6"/>
        <v>57038668</v>
      </c>
      <c r="G29" s="20">
        <f>4000000-2447442</f>
        <v>1552558</v>
      </c>
      <c r="H29" s="20">
        <f t="shared" si="4"/>
        <v>58591226</v>
      </c>
      <c r="I29" s="20">
        <v>57660601</v>
      </c>
      <c r="J29" s="20">
        <f t="shared" si="5"/>
        <v>-930625</v>
      </c>
      <c r="K29" s="162">
        <f t="shared" si="1"/>
        <v>0.984116649137876</v>
      </c>
      <c r="L29" s="5"/>
    </row>
    <row r="30" spans="1:12" ht="14.25">
      <c r="A30" s="22" t="s">
        <v>66</v>
      </c>
      <c r="B30" s="20">
        <v>0</v>
      </c>
      <c r="C30" s="46">
        <v>0</v>
      </c>
      <c r="D30" s="20">
        <v>3000000</v>
      </c>
      <c r="E30" s="46">
        <v>0</v>
      </c>
      <c r="F30" s="20">
        <f t="shared" si="6"/>
        <v>3000000</v>
      </c>
      <c r="G30" s="20">
        <f>1805475+1764351</f>
        <v>3569826</v>
      </c>
      <c r="H30" s="20">
        <f t="shared" si="4"/>
        <v>6569826</v>
      </c>
      <c r="I30" s="20">
        <v>6561826</v>
      </c>
      <c r="J30" s="20">
        <f t="shared" si="5"/>
        <v>-8000</v>
      </c>
      <c r="K30" s="162">
        <f t="shared" si="1"/>
        <v>0.9987823117385453</v>
      </c>
      <c r="L30" s="5"/>
    </row>
    <row r="31" spans="1:12" ht="14.25">
      <c r="A31" s="22" t="s">
        <v>24</v>
      </c>
      <c r="B31" s="20">
        <v>11985956</v>
      </c>
      <c r="C31" s="20">
        <v>1500000</v>
      </c>
      <c r="D31" s="46">
        <f>10000000+325839</f>
        <v>10325839</v>
      </c>
      <c r="E31" s="46">
        <v>5000000</v>
      </c>
      <c r="F31" s="20">
        <f t="shared" si="6"/>
        <v>28811795</v>
      </c>
      <c r="G31" s="20">
        <v>7500000</v>
      </c>
      <c r="H31" s="20">
        <f t="shared" si="4"/>
        <v>36311795</v>
      </c>
      <c r="I31" s="20">
        <v>25587909</v>
      </c>
      <c r="J31" s="20">
        <f t="shared" si="5"/>
        <v>-10723886</v>
      </c>
      <c r="K31" s="162">
        <f t="shared" si="1"/>
        <v>0.7046721044773469</v>
      </c>
      <c r="L31" s="5"/>
    </row>
    <row r="32" spans="1:12" ht="14.25">
      <c r="A32" s="22" t="s">
        <v>27</v>
      </c>
      <c r="B32" s="20"/>
      <c r="C32" s="46">
        <v>0</v>
      </c>
      <c r="D32" s="46">
        <v>390000</v>
      </c>
      <c r="E32" s="46">
        <v>0</v>
      </c>
      <c r="F32" s="20">
        <f t="shared" si="6"/>
        <v>390000</v>
      </c>
      <c r="G32" s="20">
        <f>773775+138525</f>
        <v>912300</v>
      </c>
      <c r="H32" s="20">
        <f t="shared" si="4"/>
        <v>1302300</v>
      </c>
      <c r="I32" s="20">
        <v>1253500</v>
      </c>
      <c r="J32" s="20">
        <f t="shared" si="5"/>
        <v>-48800</v>
      </c>
      <c r="K32" s="162">
        <f t="shared" si="1"/>
        <v>0.9625278353681948</v>
      </c>
      <c r="L32" s="5"/>
    </row>
    <row r="33" spans="1:12" ht="14.25">
      <c r="A33" s="22" t="s">
        <v>32</v>
      </c>
      <c r="B33" s="20">
        <v>600000</v>
      </c>
      <c r="C33" s="46">
        <v>0</v>
      </c>
      <c r="D33" s="46">
        <v>6000000</v>
      </c>
      <c r="E33" s="46">
        <v>0</v>
      </c>
      <c r="F33" s="20">
        <f t="shared" si="6"/>
        <v>6600000</v>
      </c>
      <c r="G33" s="20">
        <v>5000000</v>
      </c>
      <c r="H33" s="20">
        <f t="shared" si="4"/>
        <v>11600000</v>
      </c>
      <c r="I33" s="20">
        <v>7540272</v>
      </c>
      <c r="J33" s="20">
        <f t="shared" si="5"/>
        <v>-4059728</v>
      </c>
      <c r="K33" s="162">
        <f t="shared" si="1"/>
        <v>0.6500234482758621</v>
      </c>
      <c r="L33" s="5"/>
    </row>
    <row r="34" spans="1:12" ht="14.25">
      <c r="A34" s="22" t="s">
        <v>33</v>
      </c>
      <c r="B34" s="46">
        <v>0</v>
      </c>
      <c r="C34" s="46">
        <v>0</v>
      </c>
      <c r="D34" s="46">
        <v>0</v>
      </c>
      <c r="E34" s="46">
        <v>0</v>
      </c>
      <c r="F34" s="20">
        <f t="shared" si="6"/>
        <v>0</v>
      </c>
      <c r="G34" s="20">
        <f>4342000</f>
        <v>4342000</v>
      </c>
      <c r="H34" s="20">
        <f t="shared" si="4"/>
        <v>4342000</v>
      </c>
      <c r="I34" s="20">
        <v>1612932</v>
      </c>
      <c r="J34" s="20">
        <f t="shared" si="5"/>
        <v>-2729068</v>
      </c>
      <c r="K34" s="162">
        <f t="shared" si="1"/>
        <v>0.3714721326577614</v>
      </c>
      <c r="L34" s="5"/>
    </row>
    <row r="35" spans="1:12" ht="14.25">
      <c r="A35" s="22" t="s">
        <v>34</v>
      </c>
      <c r="B35" s="46">
        <v>0</v>
      </c>
      <c r="C35" s="46">
        <v>0</v>
      </c>
      <c r="D35" s="46">
        <f>5750000+4072108</f>
        <v>9822108</v>
      </c>
      <c r="E35" s="46">
        <v>0</v>
      </c>
      <c r="F35" s="20">
        <f t="shared" si="6"/>
        <v>9822108</v>
      </c>
      <c r="G35" s="20">
        <f>15000000+544566</f>
        <v>15544566</v>
      </c>
      <c r="H35" s="20">
        <f t="shared" si="4"/>
        <v>25366674</v>
      </c>
      <c r="I35" s="20">
        <v>25366673.76</v>
      </c>
      <c r="J35" s="46">
        <f t="shared" si="5"/>
        <v>-0.23999999836087227</v>
      </c>
      <c r="K35" s="162">
        <f t="shared" si="1"/>
        <v>0.9999999905387675</v>
      </c>
      <c r="L35" s="5"/>
    </row>
    <row r="36" spans="1:12" ht="14.25">
      <c r="A36" s="22" t="s">
        <v>35</v>
      </c>
      <c r="B36" s="46">
        <v>0</v>
      </c>
      <c r="C36" s="46">
        <v>0</v>
      </c>
      <c r="D36" s="46">
        <v>0</v>
      </c>
      <c r="E36" s="46">
        <v>0</v>
      </c>
      <c r="F36" s="46">
        <f t="shared" si="6"/>
        <v>0</v>
      </c>
      <c r="G36" s="46">
        <v>0</v>
      </c>
      <c r="H36" s="46">
        <f t="shared" si="4"/>
        <v>0</v>
      </c>
      <c r="I36" s="46">
        <v>0</v>
      </c>
      <c r="J36" s="46">
        <f t="shared" si="5"/>
        <v>0</v>
      </c>
      <c r="K36" s="162">
        <v>0</v>
      </c>
      <c r="L36" s="5"/>
    </row>
    <row r="37" spans="1:13" ht="15">
      <c r="A37" s="28" t="s">
        <v>74</v>
      </c>
      <c r="B37" s="18">
        <f aca="true" t="shared" si="7" ref="B37:G37">SUM(B23:B36)</f>
        <v>19377589.273025</v>
      </c>
      <c r="C37" s="18">
        <f t="shared" si="7"/>
        <v>9603238.92785</v>
      </c>
      <c r="D37" s="18">
        <f t="shared" si="7"/>
        <v>82501267.19822499</v>
      </c>
      <c r="E37" s="18">
        <f t="shared" si="7"/>
        <v>17752671.979825</v>
      </c>
      <c r="F37" s="18">
        <f>SUM(F23:F36)</f>
        <v>129234767.378925</v>
      </c>
      <c r="G37" s="18">
        <f t="shared" si="7"/>
        <v>100466868.83405</v>
      </c>
      <c r="H37" s="18">
        <f>SUM(H22:H36)</f>
        <v>229701636.212975</v>
      </c>
      <c r="I37" s="18">
        <f>SUM(I22:I36)</f>
        <v>204934214.56</v>
      </c>
      <c r="J37" s="18">
        <f>SUM(J22:J36)</f>
        <v>-24767421.652974997</v>
      </c>
      <c r="K37" s="161">
        <f t="shared" si="1"/>
        <v>0.89217568467814</v>
      </c>
      <c r="L37" s="75"/>
      <c r="M37" s="62"/>
    </row>
    <row r="38" spans="1:14" ht="15">
      <c r="A38" s="28" t="s">
        <v>75</v>
      </c>
      <c r="B38" s="18">
        <f aca="true" t="shared" si="8" ref="B38:J38">+B37+B21</f>
        <v>237375751.33209014</v>
      </c>
      <c r="C38" s="18">
        <f t="shared" si="8"/>
        <v>75988064.53432193</v>
      </c>
      <c r="D38" s="18">
        <f t="shared" si="8"/>
        <v>302982490.5311029</v>
      </c>
      <c r="E38" s="18">
        <f t="shared" si="8"/>
        <v>84671529.08147985</v>
      </c>
      <c r="F38" s="18">
        <f t="shared" si="8"/>
        <v>701017835.4789947</v>
      </c>
      <c r="G38" s="18">
        <f t="shared" si="8"/>
        <v>184656815.81259936</v>
      </c>
      <c r="H38" s="18">
        <f t="shared" si="8"/>
        <v>885674651.2915943</v>
      </c>
      <c r="I38" s="18">
        <f t="shared" si="8"/>
        <v>840140096.56</v>
      </c>
      <c r="J38" s="18">
        <f t="shared" si="8"/>
        <v>-45534554.73159422</v>
      </c>
      <c r="K38" s="161">
        <f t="shared" si="1"/>
        <v>0.9485877182267884</v>
      </c>
      <c r="L38" s="75"/>
      <c r="M38" s="62"/>
      <c r="N38" s="44"/>
    </row>
    <row r="39" spans="1:13" ht="15">
      <c r="A39" s="22"/>
      <c r="B39" s="17"/>
      <c r="C39" s="17"/>
      <c r="D39" s="17"/>
      <c r="E39" s="17"/>
      <c r="F39" s="17"/>
      <c r="G39" s="17"/>
      <c r="H39" s="17"/>
      <c r="I39" s="17"/>
      <c r="J39" s="17"/>
      <c r="K39" s="161"/>
      <c r="L39" s="119"/>
      <c r="M39" s="62"/>
    </row>
    <row r="40" spans="1:13" ht="15">
      <c r="A40" s="28" t="s">
        <v>17</v>
      </c>
      <c r="B40" s="18">
        <f>+B42</f>
        <v>504579769</v>
      </c>
      <c r="C40" s="18">
        <f>+C42+C68+C106+C132+C160+C162</f>
        <v>158505645</v>
      </c>
      <c r="D40" s="18">
        <f>+D42+D68+D106+D132+D160+D162</f>
        <v>1431000000</v>
      </c>
      <c r="E40" s="18">
        <f>+E42+E68+E106+E132+E160+E162</f>
        <v>957324863</v>
      </c>
      <c r="F40" s="18">
        <f>+B40+C40+D40+E40</f>
        <v>3051410277</v>
      </c>
      <c r="G40" s="18">
        <v>0</v>
      </c>
      <c r="H40" s="18">
        <f>+G40+F40</f>
        <v>3051410277</v>
      </c>
      <c r="I40" s="18">
        <f>+I42+I68+I106+I132</f>
        <v>2241556698.05</v>
      </c>
      <c r="J40" s="18">
        <f>+J42+J68+J106+J132</f>
        <v>-809830036.95</v>
      </c>
      <c r="K40" s="161">
        <f t="shared" si="1"/>
        <v>0.7345969550360796</v>
      </c>
      <c r="L40" s="66"/>
      <c r="M40" s="62"/>
    </row>
    <row r="41" spans="1:13" ht="15">
      <c r="A41" s="22"/>
      <c r="B41" s="17"/>
      <c r="C41" s="17"/>
      <c r="D41" s="17"/>
      <c r="E41" s="17"/>
      <c r="F41" s="20"/>
      <c r="G41" s="17"/>
      <c r="H41" s="17"/>
      <c r="I41" s="17"/>
      <c r="J41" s="17"/>
      <c r="K41" s="161"/>
      <c r="L41" s="5"/>
      <c r="M41" s="62"/>
    </row>
    <row r="42" spans="1:13" ht="15">
      <c r="A42" s="15" t="s">
        <v>9</v>
      </c>
      <c r="B42" s="29">
        <f>+B43+B53+B58+B62</f>
        <v>504579769</v>
      </c>
      <c r="C42" s="18"/>
      <c r="D42" s="18"/>
      <c r="E42" s="138"/>
      <c r="F42" s="18">
        <f>+SUM(B42:E42)</f>
        <v>504579769</v>
      </c>
      <c r="G42" s="138"/>
      <c r="H42" s="18">
        <f aca="true" t="shared" si="9" ref="H42:H56">+F42+G42</f>
        <v>504579769</v>
      </c>
      <c r="I42" s="18">
        <f>+I43+I53+I58+I62</f>
        <v>415186710</v>
      </c>
      <c r="J42" s="18">
        <f>+J43+J53+J58+J62</f>
        <v>-89393058.99999997</v>
      </c>
      <c r="K42" s="161">
        <f t="shared" si="1"/>
        <v>0.8228366167411678</v>
      </c>
      <c r="L42" s="70"/>
      <c r="M42" s="62"/>
    </row>
    <row r="43" spans="1:13" s="68" customFormat="1" ht="15.75" customHeight="1">
      <c r="A43" s="23" t="s">
        <v>92</v>
      </c>
      <c r="B43" s="18">
        <f>+B44+B47+B50+B51+B52</f>
        <v>359259908</v>
      </c>
      <c r="C43" s="138"/>
      <c r="D43" s="138"/>
      <c r="E43" s="138"/>
      <c r="F43" s="18">
        <f aca="true" t="shared" si="10" ref="F43:F66">+SUM(B43:E43)</f>
        <v>359259908</v>
      </c>
      <c r="G43" s="138"/>
      <c r="H43" s="18">
        <f t="shared" si="9"/>
        <v>359259908</v>
      </c>
      <c r="I43" s="18">
        <f>+I44+I47+I50+I51+I52</f>
        <v>271676922</v>
      </c>
      <c r="J43" s="18">
        <f>+J44+J47+J50+J51+J52</f>
        <v>-87582985.99999997</v>
      </c>
      <c r="K43" s="161">
        <f t="shared" si="1"/>
        <v>0.7562127472347958</v>
      </c>
      <c r="L43" s="67"/>
      <c r="M43" s="62"/>
    </row>
    <row r="44" spans="1:13" s="68" customFormat="1" ht="15" hidden="1" outlineLevel="1">
      <c r="A44" s="139" t="s">
        <v>203</v>
      </c>
      <c r="B44" s="25">
        <f>+B45+B46</f>
        <v>302804377</v>
      </c>
      <c r="C44" s="138"/>
      <c r="D44" s="140"/>
      <c r="E44" s="138"/>
      <c r="F44" s="49">
        <f t="shared" si="10"/>
        <v>302804377</v>
      </c>
      <c r="G44" s="138"/>
      <c r="H44" s="49">
        <f t="shared" si="9"/>
        <v>302804377</v>
      </c>
      <c r="I44" s="49">
        <f>+I45+I46</f>
        <v>226338619.00000003</v>
      </c>
      <c r="J44" s="20">
        <f aca="true" t="shared" si="11" ref="J44:J52">+I44-H44</f>
        <v>-76465757.99999997</v>
      </c>
      <c r="K44" s="162">
        <f t="shared" si="1"/>
        <v>0.7474747268927359</v>
      </c>
      <c r="L44" s="67"/>
      <c r="M44" s="62"/>
    </row>
    <row r="45" spans="1:13" s="68" customFormat="1" ht="15" hidden="1" outlineLevel="2">
      <c r="A45" s="139" t="s">
        <v>204</v>
      </c>
      <c r="B45" s="49">
        <v>191681680</v>
      </c>
      <c r="C45" s="138"/>
      <c r="D45" s="138"/>
      <c r="E45" s="138"/>
      <c r="F45" s="49">
        <f t="shared" si="10"/>
        <v>191681680</v>
      </c>
      <c r="G45" s="138"/>
      <c r="H45" s="49">
        <f t="shared" si="9"/>
        <v>191681680</v>
      </c>
      <c r="I45" s="49">
        <v>159613645.2</v>
      </c>
      <c r="J45" s="20">
        <f t="shared" si="11"/>
        <v>-32068034.800000012</v>
      </c>
      <c r="K45" s="162">
        <f t="shared" si="1"/>
        <v>0.8327016186419066</v>
      </c>
      <c r="L45" s="67"/>
      <c r="M45" s="62"/>
    </row>
    <row r="46" spans="1:13" s="68" customFormat="1" ht="15" hidden="1" outlineLevel="2">
      <c r="A46" s="139" t="s">
        <v>205</v>
      </c>
      <c r="B46" s="49">
        <v>111122697</v>
      </c>
      <c r="C46" s="138"/>
      <c r="D46" s="138"/>
      <c r="E46" s="138"/>
      <c r="F46" s="49">
        <f t="shared" si="10"/>
        <v>111122697</v>
      </c>
      <c r="G46" s="138"/>
      <c r="H46" s="49">
        <f t="shared" si="9"/>
        <v>111122697</v>
      </c>
      <c r="I46" s="49">
        <v>66724973.80000004</v>
      </c>
      <c r="J46" s="20">
        <f t="shared" si="11"/>
        <v>-44397723.19999996</v>
      </c>
      <c r="K46" s="162">
        <f t="shared" si="1"/>
        <v>0.600462152210003</v>
      </c>
      <c r="L46" s="67"/>
      <c r="M46" s="62"/>
    </row>
    <row r="47" spans="1:13" s="68" customFormat="1" ht="15" hidden="1" outlineLevel="1" collapsed="1">
      <c r="A47" s="139" t="s">
        <v>206</v>
      </c>
      <c r="B47" s="25">
        <f>+B48+B49</f>
        <v>0</v>
      </c>
      <c r="C47" s="29">
        <f>+C48+C49</f>
        <v>0</v>
      </c>
      <c r="D47" s="141">
        <f>+D48+D49</f>
        <v>0</v>
      </c>
      <c r="E47" s="138"/>
      <c r="F47" s="49">
        <f>+SUM(B47:E47)</f>
        <v>0</v>
      </c>
      <c r="G47" s="138"/>
      <c r="H47" s="49">
        <f t="shared" si="9"/>
        <v>0</v>
      </c>
      <c r="I47" s="49">
        <v>0</v>
      </c>
      <c r="J47" s="20">
        <f t="shared" si="11"/>
        <v>0</v>
      </c>
      <c r="K47" s="162" t="e">
        <f t="shared" si="1"/>
        <v>#DIV/0!</v>
      </c>
      <c r="L47" s="67"/>
      <c r="M47" s="62"/>
    </row>
    <row r="48" spans="1:13" s="68" customFormat="1" ht="15" hidden="1" outlineLevel="2">
      <c r="A48" s="139" t="s">
        <v>204</v>
      </c>
      <c r="B48" s="49">
        <v>0</v>
      </c>
      <c r="C48" s="142"/>
      <c r="D48" s="143"/>
      <c r="E48" s="138"/>
      <c r="F48" s="49">
        <f t="shared" si="10"/>
        <v>0</v>
      </c>
      <c r="G48" s="138"/>
      <c r="H48" s="49">
        <f t="shared" si="9"/>
        <v>0</v>
      </c>
      <c r="I48" s="49">
        <v>0</v>
      </c>
      <c r="J48" s="20">
        <f t="shared" si="11"/>
        <v>0</v>
      </c>
      <c r="K48" s="162" t="e">
        <f t="shared" si="1"/>
        <v>#DIV/0!</v>
      </c>
      <c r="L48" s="67"/>
      <c r="M48" s="62"/>
    </row>
    <row r="49" spans="1:13" s="68" customFormat="1" ht="15" hidden="1" outlineLevel="2">
      <c r="A49" s="139" t="s">
        <v>205</v>
      </c>
      <c r="B49" s="49">
        <v>0</v>
      </c>
      <c r="C49" s="142"/>
      <c r="D49" s="144"/>
      <c r="E49" s="138"/>
      <c r="F49" s="49">
        <f t="shared" si="10"/>
        <v>0</v>
      </c>
      <c r="G49" s="138"/>
      <c r="H49" s="49">
        <f t="shared" si="9"/>
        <v>0</v>
      </c>
      <c r="I49" s="49">
        <v>0</v>
      </c>
      <c r="J49" s="20">
        <f t="shared" si="11"/>
        <v>0</v>
      </c>
      <c r="K49" s="162" t="e">
        <f t="shared" si="1"/>
        <v>#DIV/0!</v>
      </c>
      <c r="L49" s="67"/>
      <c r="M49" s="62"/>
    </row>
    <row r="50" spans="1:13" s="68" customFormat="1" ht="15" hidden="1" outlineLevel="1" collapsed="1">
      <c r="A50" s="146" t="s">
        <v>100</v>
      </c>
      <c r="B50" s="20">
        <v>8111950</v>
      </c>
      <c r="C50" s="138"/>
      <c r="D50" s="138"/>
      <c r="E50" s="138"/>
      <c r="F50" s="21">
        <f t="shared" si="10"/>
        <v>8111950</v>
      </c>
      <c r="G50" s="138"/>
      <c r="H50" s="21">
        <f t="shared" si="9"/>
        <v>8111950</v>
      </c>
      <c r="I50" s="21">
        <v>5997250</v>
      </c>
      <c r="J50" s="20">
        <f t="shared" si="11"/>
        <v>-2114700</v>
      </c>
      <c r="K50" s="162">
        <f t="shared" si="1"/>
        <v>0.7393105233636795</v>
      </c>
      <c r="L50" s="67"/>
      <c r="M50" s="62"/>
    </row>
    <row r="51" spans="1:13" s="68" customFormat="1" ht="15" hidden="1" outlineLevel="1">
      <c r="A51" s="146" t="s">
        <v>101</v>
      </c>
      <c r="B51" s="20">
        <v>36343581</v>
      </c>
      <c r="C51" s="18"/>
      <c r="D51" s="138"/>
      <c r="E51" s="138"/>
      <c r="F51" s="21">
        <f t="shared" si="10"/>
        <v>36343581</v>
      </c>
      <c r="G51" s="138"/>
      <c r="H51" s="21">
        <f t="shared" si="9"/>
        <v>36343581</v>
      </c>
      <c r="I51" s="21">
        <v>29838264</v>
      </c>
      <c r="J51" s="20">
        <f t="shared" si="11"/>
        <v>-6505317</v>
      </c>
      <c r="K51" s="162">
        <f t="shared" si="1"/>
        <v>0.8210050627647286</v>
      </c>
      <c r="L51" s="67"/>
      <c r="M51" s="62"/>
    </row>
    <row r="52" spans="1:13" s="68" customFormat="1" ht="15" hidden="1" outlineLevel="1">
      <c r="A52" s="146" t="s">
        <v>102</v>
      </c>
      <c r="B52" s="21">
        <v>12000000</v>
      </c>
      <c r="C52" s="138"/>
      <c r="D52" s="138"/>
      <c r="E52" s="138"/>
      <c r="F52" s="21">
        <f t="shared" si="10"/>
        <v>12000000</v>
      </c>
      <c r="G52" s="138"/>
      <c r="H52" s="21">
        <f t="shared" si="9"/>
        <v>12000000</v>
      </c>
      <c r="I52" s="21">
        <v>9502789</v>
      </c>
      <c r="J52" s="20">
        <f t="shared" si="11"/>
        <v>-2497211</v>
      </c>
      <c r="K52" s="162">
        <f t="shared" si="1"/>
        <v>0.7918990833333334</v>
      </c>
      <c r="L52" s="67"/>
      <c r="M52" s="62"/>
    </row>
    <row r="53" spans="1:13" s="68" customFormat="1" ht="15" collapsed="1">
      <c r="A53" s="23" t="s">
        <v>10</v>
      </c>
      <c r="B53" s="18">
        <f>+B54+B55+B56</f>
        <v>34080319</v>
      </c>
      <c r="C53" s="138"/>
      <c r="D53" s="138"/>
      <c r="E53" s="138"/>
      <c r="F53" s="18">
        <f t="shared" si="10"/>
        <v>34080319</v>
      </c>
      <c r="G53" s="138"/>
      <c r="H53" s="18">
        <f t="shared" si="9"/>
        <v>34080319</v>
      </c>
      <c r="I53" s="18">
        <f>SUM(I54:I56)</f>
        <v>33584155</v>
      </c>
      <c r="J53" s="18">
        <f>SUM(J54:J56)</f>
        <v>-496164</v>
      </c>
      <c r="K53" s="161">
        <f t="shared" si="1"/>
        <v>0.985441333457002</v>
      </c>
      <c r="L53" s="67"/>
      <c r="M53" s="62"/>
    </row>
    <row r="54" spans="1:13" s="68" customFormat="1" ht="15" hidden="1" outlineLevel="2">
      <c r="A54" s="145" t="s">
        <v>93</v>
      </c>
      <c r="B54" s="20">
        <v>8837400</v>
      </c>
      <c r="C54" s="138"/>
      <c r="D54" s="138"/>
      <c r="E54" s="138"/>
      <c r="F54" s="20">
        <f t="shared" si="10"/>
        <v>8837400</v>
      </c>
      <c r="G54" s="138"/>
      <c r="H54" s="21">
        <f t="shared" si="9"/>
        <v>8837400</v>
      </c>
      <c r="I54" s="21">
        <v>8837400</v>
      </c>
      <c r="J54" s="20">
        <f>+I54-H54</f>
        <v>0</v>
      </c>
      <c r="K54" s="162">
        <f t="shared" si="1"/>
        <v>1</v>
      </c>
      <c r="L54" s="67"/>
      <c r="M54" s="62"/>
    </row>
    <row r="55" spans="1:13" s="68" customFormat="1" ht="15" hidden="1" outlineLevel="2">
      <c r="A55" s="145" t="s">
        <v>94</v>
      </c>
      <c r="B55" s="20">
        <f>15000000-4590216</f>
        <v>10409784</v>
      </c>
      <c r="C55" s="138"/>
      <c r="D55" s="138"/>
      <c r="E55" s="138"/>
      <c r="F55" s="20">
        <f t="shared" si="10"/>
        <v>10409784</v>
      </c>
      <c r="G55" s="138"/>
      <c r="H55" s="21">
        <f t="shared" si="9"/>
        <v>10409784</v>
      </c>
      <c r="I55" s="21">
        <v>10409784</v>
      </c>
      <c r="J55" s="20">
        <f>+I55-H55</f>
        <v>0</v>
      </c>
      <c r="K55" s="162">
        <f t="shared" si="1"/>
        <v>1</v>
      </c>
      <c r="L55" s="67"/>
      <c r="M55" s="62"/>
    </row>
    <row r="56" spans="1:13" s="68" customFormat="1" ht="15" hidden="1" outlineLevel="2">
      <c r="A56" s="146" t="s">
        <v>138</v>
      </c>
      <c r="B56" s="20">
        <f>10242919+4590216</f>
        <v>14833135</v>
      </c>
      <c r="C56" s="138"/>
      <c r="D56" s="138"/>
      <c r="E56" s="138"/>
      <c r="F56" s="20">
        <f t="shared" si="10"/>
        <v>14833135</v>
      </c>
      <c r="G56" s="138"/>
      <c r="H56" s="21">
        <f t="shared" si="9"/>
        <v>14833135</v>
      </c>
      <c r="I56" s="21">
        <v>14336971</v>
      </c>
      <c r="J56" s="20">
        <f>+I56-H56</f>
        <v>-496164</v>
      </c>
      <c r="K56" s="162">
        <f t="shared" si="1"/>
        <v>0.9665502943241601</v>
      </c>
      <c r="L56" s="67"/>
      <c r="M56" s="62"/>
    </row>
    <row r="57" spans="1:13" s="68" customFormat="1" ht="15" hidden="1" outlineLevel="2">
      <c r="A57" s="145"/>
      <c r="B57" s="20"/>
      <c r="C57" s="138"/>
      <c r="D57" s="138"/>
      <c r="E57" s="138"/>
      <c r="F57" s="20"/>
      <c r="G57" s="138"/>
      <c r="H57" s="21"/>
      <c r="I57" s="21"/>
      <c r="J57" s="20"/>
      <c r="K57" s="162" t="e">
        <f t="shared" si="1"/>
        <v>#DIV/0!</v>
      </c>
      <c r="L57" s="67"/>
      <c r="M57" s="62"/>
    </row>
    <row r="58" spans="1:13" s="68" customFormat="1" ht="15" collapsed="1">
      <c r="A58" s="23" t="s">
        <v>50</v>
      </c>
      <c r="B58" s="18">
        <f>+B59+B60+B61</f>
        <v>49882322</v>
      </c>
      <c r="C58" s="147"/>
      <c r="D58" s="20"/>
      <c r="E58" s="18"/>
      <c r="F58" s="25">
        <f t="shared" si="10"/>
        <v>49882322</v>
      </c>
      <c r="G58" s="26"/>
      <c r="H58" s="25">
        <f aca="true" t="shared" si="12" ref="H58:H66">+F58+G58</f>
        <v>49882322</v>
      </c>
      <c r="I58" s="166">
        <f>SUM(I59:I61)</f>
        <v>48708555</v>
      </c>
      <c r="J58" s="25">
        <f>SUM(J59:J61)</f>
        <v>-1173767</v>
      </c>
      <c r="K58" s="161">
        <f t="shared" si="1"/>
        <v>0.9764692790363688</v>
      </c>
      <c r="L58" s="67"/>
      <c r="M58" s="62"/>
    </row>
    <row r="59" spans="1:13" s="68" customFormat="1" ht="14.25" hidden="1" outlineLevel="1">
      <c r="A59" s="24" t="s">
        <v>87</v>
      </c>
      <c r="B59" s="20">
        <v>19084257</v>
      </c>
      <c r="C59" s="17"/>
      <c r="D59" s="17"/>
      <c r="E59" s="20"/>
      <c r="F59" s="20">
        <f t="shared" si="10"/>
        <v>19084257</v>
      </c>
      <c r="G59" s="17"/>
      <c r="H59" s="20">
        <f t="shared" si="12"/>
        <v>19084257</v>
      </c>
      <c r="I59" s="167">
        <v>19081652</v>
      </c>
      <c r="J59" s="20">
        <f>+I59-H59</f>
        <v>-2605</v>
      </c>
      <c r="K59" s="162">
        <f t="shared" si="1"/>
        <v>0.9998635000566174</v>
      </c>
      <c r="L59" s="67"/>
      <c r="M59" s="62"/>
    </row>
    <row r="60" spans="1:13" s="68" customFormat="1" ht="14.25" hidden="1" outlineLevel="1">
      <c r="A60" s="24" t="s">
        <v>103</v>
      </c>
      <c r="B60" s="20">
        <v>6143369</v>
      </c>
      <c r="C60" s="17"/>
      <c r="D60" s="17"/>
      <c r="E60" s="20"/>
      <c r="F60" s="20">
        <f t="shared" si="10"/>
        <v>6143369</v>
      </c>
      <c r="G60" s="17"/>
      <c r="H60" s="20">
        <f t="shared" si="12"/>
        <v>6143369</v>
      </c>
      <c r="I60" s="167">
        <v>4972289</v>
      </c>
      <c r="J60" s="20">
        <f>+I60-H60</f>
        <v>-1171080</v>
      </c>
      <c r="K60" s="162">
        <f t="shared" si="1"/>
        <v>0.8093749537102525</v>
      </c>
      <c r="L60" s="67"/>
      <c r="M60" s="62"/>
    </row>
    <row r="61" spans="1:13" s="68" customFormat="1" ht="14.25" hidden="1" outlineLevel="1">
      <c r="A61" s="24" t="s">
        <v>152</v>
      </c>
      <c r="B61" s="20">
        <v>24654696</v>
      </c>
      <c r="C61" s="17"/>
      <c r="D61" s="17"/>
      <c r="E61" s="20"/>
      <c r="F61" s="20">
        <f t="shared" si="10"/>
        <v>24654696</v>
      </c>
      <c r="G61" s="17"/>
      <c r="H61" s="20">
        <f t="shared" si="12"/>
        <v>24654696</v>
      </c>
      <c r="I61" s="167">
        <v>24654614</v>
      </c>
      <c r="J61" s="20">
        <f>+I61-H61</f>
        <v>-82</v>
      </c>
      <c r="K61" s="162">
        <f t="shared" si="1"/>
        <v>0.9999966740616067</v>
      </c>
      <c r="L61" s="67"/>
      <c r="M61" s="62"/>
    </row>
    <row r="62" spans="1:13" s="68" customFormat="1" ht="15" collapsed="1">
      <c r="A62" s="23" t="s">
        <v>51</v>
      </c>
      <c r="B62" s="25">
        <f>+B63+B64+B65+B66</f>
        <v>61357220</v>
      </c>
      <c r="C62" s="26"/>
      <c r="D62" s="26"/>
      <c r="E62" s="26"/>
      <c r="F62" s="25">
        <f t="shared" si="10"/>
        <v>61357220</v>
      </c>
      <c r="G62" s="26"/>
      <c r="H62" s="25">
        <f t="shared" si="12"/>
        <v>61357220</v>
      </c>
      <c r="I62" s="166">
        <f>SUM(I63:I66)</f>
        <v>61217078</v>
      </c>
      <c r="J62" s="25">
        <f>SUM(J63:J66)</f>
        <v>-140142</v>
      </c>
      <c r="K62" s="161">
        <f t="shared" si="1"/>
        <v>0.9977159656190421</v>
      </c>
      <c r="L62" s="69"/>
      <c r="M62" s="62"/>
    </row>
    <row r="63" spans="1:13" s="68" customFormat="1" ht="15" hidden="1" outlineLevel="1">
      <c r="A63" s="24" t="s">
        <v>104</v>
      </c>
      <c r="B63" s="20">
        <f>30701020-77045-159837</f>
        <v>30464138</v>
      </c>
      <c r="C63" s="26"/>
      <c r="D63" s="26"/>
      <c r="E63" s="26"/>
      <c r="F63" s="49">
        <f t="shared" si="10"/>
        <v>30464138</v>
      </c>
      <c r="G63" s="27"/>
      <c r="H63" s="49">
        <f t="shared" si="12"/>
        <v>30464138</v>
      </c>
      <c r="I63" s="168">
        <v>30323996</v>
      </c>
      <c r="J63" s="20">
        <f>+I63-H63</f>
        <v>-140142</v>
      </c>
      <c r="K63" s="162">
        <f t="shared" si="1"/>
        <v>0.9953997713639559</v>
      </c>
      <c r="L63" s="67"/>
      <c r="M63" s="62"/>
    </row>
    <row r="64" spans="1:13" s="68" customFormat="1" ht="15" hidden="1" outlineLevel="1">
      <c r="A64" s="24" t="s">
        <v>139</v>
      </c>
      <c r="B64" s="20">
        <v>0</v>
      </c>
      <c r="C64" s="26"/>
      <c r="D64" s="26"/>
      <c r="E64" s="26"/>
      <c r="F64" s="49">
        <f t="shared" si="10"/>
        <v>0</v>
      </c>
      <c r="G64" s="27"/>
      <c r="H64" s="49">
        <f t="shared" si="12"/>
        <v>0</v>
      </c>
      <c r="I64" s="168">
        <v>0</v>
      </c>
      <c r="J64" s="20">
        <f>+I64-H64</f>
        <v>0</v>
      </c>
      <c r="K64" s="162" t="e">
        <f t="shared" si="1"/>
        <v>#DIV/0!</v>
      </c>
      <c r="L64" s="67"/>
      <c r="M64" s="62"/>
    </row>
    <row r="65" spans="1:13" s="68" customFormat="1" ht="15" hidden="1" outlineLevel="1">
      <c r="A65" s="148" t="s">
        <v>140</v>
      </c>
      <c r="B65" s="20">
        <f>7656200+77045</f>
        <v>7733245</v>
      </c>
      <c r="C65" s="26"/>
      <c r="D65" s="26"/>
      <c r="E65" s="26"/>
      <c r="F65" s="49">
        <f t="shared" si="10"/>
        <v>7733245</v>
      </c>
      <c r="G65" s="27"/>
      <c r="H65" s="49">
        <f t="shared" si="12"/>
        <v>7733245</v>
      </c>
      <c r="I65" s="168">
        <v>7733245</v>
      </c>
      <c r="J65" s="20">
        <f>+I65-H65</f>
        <v>0</v>
      </c>
      <c r="K65" s="162">
        <f t="shared" si="1"/>
        <v>1</v>
      </c>
      <c r="L65" s="67"/>
      <c r="M65" s="62"/>
    </row>
    <row r="66" spans="1:13" s="68" customFormat="1" ht="15" hidden="1" outlineLevel="1">
      <c r="A66" s="149" t="s">
        <v>153</v>
      </c>
      <c r="B66" s="20">
        <f>23000000+159837</f>
        <v>23159837</v>
      </c>
      <c r="C66" s="26"/>
      <c r="D66" s="26"/>
      <c r="E66" s="26"/>
      <c r="F66" s="49">
        <f t="shared" si="10"/>
        <v>23159837</v>
      </c>
      <c r="G66" s="27"/>
      <c r="H66" s="49">
        <f t="shared" si="12"/>
        <v>23159837</v>
      </c>
      <c r="I66" s="168">
        <v>23159837</v>
      </c>
      <c r="J66" s="20">
        <f>+I66-H66</f>
        <v>0</v>
      </c>
      <c r="K66" s="162">
        <f t="shared" si="1"/>
        <v>1</v>
      </c>
      <c r="L66" s="67"/>
      <c r="M66" s="62"/>
    </row>
    <row r="67" spans="1:13" s="68" customFormat="1" ht="15" collapsed="1">
      <c r="A67" s="24"/>
      <c r="B67" s="20"/>
      <c r="C67" s="138"/>
      <c r="D67" s="138"/>
      <c r="E67" s="140"/>
      <c r="F67" s="20"/>
      <c r="G67" s="138"/>
      <c r="H67" s="20"/>
      <c r="I67" s="167"/>
      <c r="J67" s="20"/>
      <c r="K67" s="162"/>
      <c r="L67" s="67"/>
      <c r="M67" s="62"/>
    </row>
    <row r="68" spans="1:13" ht="15">
      <c r="A68" s="15" t="s">
        <v>11</v>
      </c>
      <c r="B68" s="29"/>
      <c r="C68" s="20"/>
      <c r="D68" s="20"/>
      <c r="E68" s="25">
        <f>+E69+E75+E81+E88+E96+E100+E102</f>
        <v>957324863</v>
      </c>
      <c r="F68" s="18">
        <f>+SUM(B68:E68)</f>
        <v>957324863</v>
      </c>
      <c r="G68" s="25"/>
      <c r="H68" s="25">
        <f>+G68+F68</f>
        <v>957324863</v>
      </c>
      <c r="I68" s="166">
        <f>+I69+I75+I81+I88+I96+I100+I102</f>
        <v>634398313</v>
      </c>
      <c r="J68" s="25">
        <f>+J69+J75+J81+J88+J96+J100+J102</f>
        <v>-322926550</v>
      </c>
      <c r="K68" s="161">
        <f t="shared" si="1"/>
        <v>0.6626781957923514</v>
      </c>
      <c r="L68" s="70"/>
      <c r="M68" s="62"/>
    </row>
    <row r="69" spans="1:13" ht="15">
      <c r="A69" s="23" t="s">
        <v>95</v>
      </c>
      <c r="B69" s="29"/>
      <c r="C69" s="20"/>
      <c r="D69" s="20"/>
      <c r="E69" s="25">
        <f>+E70+E71+E72+E73+E74</f>
        <v>3225960</v>
      </c>
      <c r="F69" s="18">
        <f>+SUM(B69:E69)</f>
        <v>3225960</v>
      </c>
      <c r="G69" s="25"/>
      <c r="H69" s="25">
        <f>+H70+H71+H72+H73+H74</f>
        <v>3225960</v>
      </c>
      <c r="I69" s="166">
        <f>SUM(I70:I74)</f>
        <v>3225960</v>
      </c>
      <c r="J69" s="25">
        <f>SUM(J70:J74)</f>
        <v>0</v>
      </c>
      <c r="K69" s="161">
        <f t="shared" si="1"/>
        <v>1</v>
      </c>
      <c r="L69" s="5"/>
      <c r="M69" s="62"/>
    </row>
    <row r="70" spans="1:13" ht="15" hidden="1" outlineLevel="1">
      <c r="A70" s="150" t="s">
        <v>96</v>
      </c>
      <c r="B70" s="29"/>
      <c r="C70" s="20"/>
      <c r="D70" s="20"/>
      <c r="E70" s="49">
        <v>0</v>
      </c>
      <c r="F70" s="49">
        <f aca="true" t="shared" si="13" ref="F70:F103">+E70+D70+C70+B70</f>
        <v>0</v>
      </c>
      <c r="G70" s="49"/>
      <c r="H70" s="49">
        <f aca="true" t="shared" si="14" ref="H70:H95">+G70+F70</f>
        <v>0</v>
      </c>
      <c r="I70" s="168">
        <v>0</v>
      </c>
      <c r="J70" s="49"/>
      <c r="K70" s="162" t="e">
        <f t="shared" si="1"/>
        <v>#DIV/0!</v>
      </c>
      <c r="L70" s="5"/>
      <c r="M70" s="62"/>
    </row>
    <row r="71" spans="1:13" ht="15" hidden="1" outlineLevel="1">
      <c r="A71" s="150" t="s">
        <v>97</v>
      </c>
      <c r="B71" s="29"/>
      <c r="C71" s="20"/>
      <c r="D71" s="20"/>
      <c r="E71" s="49">
        <v>0</v>
      </c>
      <c r="F71" s="49">
        <f t="shared" si="13"/>
        <v>0</v>
      </c>
      <c r="G71" s="49"/>
      <c r="H71" s="49">
        <f t="shared" si="14"/>
        <v>0</v>
      </c>
      <c r="I71" s="168">
        <v>0</v>
      </c>
      <c r="J71" s="49"/>
      <c r="K71" s="162" t="e">
        <f t="shared" si="1"/>
        <v>#DIV/0!</v>
      </c>
      <c r="L71" s="5"/>
      <c r="M71" s="62"/>
    </row>
    <row r="72" spans="1:13" ht="15" hidden="1" outlineLevel="1">
      <c r="A72" s="150" t="s">
        <v>122</v>
      </c>
      <c r="B72" s="29"/>
      <c r="C72" s="20"/>
      <c r="D72" s="20"/>
      <c r="E72" s="49">
        <v>0</v>
      </c>
      <c r="F72" s="49">
        <f t="shared" si="13"/>
        <v>0</v>
      </c>
      <c r="G72" s="49"/>
      <c r="H72" s="49">
        <f t="shared" si="14"/>
        <v>0</v>
      </c>
      <c r="I72" s="168">
        <v>0</v>
      </c>
      <c r="J72" s="49"/>
      <c r="K72" s="162" t="e">
        <f t="shared" si="1"/>
        <v>#DIV/0!</v>
      </c>
      <c r="L72" s="5"/>
      <c r="M72" s="62"/>
    </row>
    <row r="73" spans="1:13" ht="15" hidden="1" outlineLevel="1">
      <c r="A73" s="150" t="s">
        <v>121</v>
      </c>
      <c r="B73" s="29"/>
      <c r="C73" s="20"/>
      <c r="D73" s="20"/>
      <c r="E73" s="49">
        <v>3225960</v>
      </c>
      <c r="F73" s="49">
        <f t="shared" si="13"/>
        <v>3225960</v>
      </c>
      <c r="G73" s="49"/>
      <c r="H73" s="49">
        <f t="shared" si="14"/>
        <v>3225960</v>
      </c>
      <c r="I73" s="168">
        <v>3225960</v>
      </c>
      <c r="J73" s="49">
        <f>+I73-H73</f>
        <v>0</v>
      </c>
      <c r="K73" s="162">
        <f aca="true" t="shared" si="15" ref="K73:K136">+I73/H73</f>
        <v>1</v>
      </c>
      <c r="L73" s="5"/>
      <c r="M73" s="62"/>
    </row>
    <row r="74" spans="1:13" ht="15" hidden="1" outlineLevel="1">
      <c r="A74" s="150" t="s">
        <v>216</v>
      </c>
      <c r="B74" s="29"/>
      <c r="C74" s="20"/>
      <c r="D74" s="20"/>
      <c r="E74" s="49">
        <v>0</v>
      </c>
      <c r="F74" s="49">
        <f t="shared" si="13"/>
        <v>0</v>
      </c>
      <c r="G74" s="49"/>
      <c r="H74" s="49">
        <f t="shared" si="14"/>
        <v>0</v>
      </c>
      <c r="I74" s="168">
        <v>0</v>
      </c>
      <c r="J74" s="49"/>
      <c r="K74" s="162" t="e">
        <f t="shared" si="15"/>
        <v>#DIV/0!</v>
      </c>
      <c r="L74" s="5"/>
      <c r="M74" s="62"/>
    </row>
    <row r="75" spans="1:13" ht="17.25" customHeight="1" collapsed="1">
      <c r="A75" s="151" t="s">
        <v>157</v>
      </c>
      <c r="B75" s="29"/>
      <c r="C75" s="20"/>
      <c r="D75" s="20"/>
      <c r="E75" s="25">
        <f>SUM(E76:E80)</f>
        <v>86158284</v>
      </c>
      <c r="F75" s="18">
        <f>+SUM(B75:E75)</f>
        <v>86158284</v>
      </c>
      <c r="G75" s="25"/>
      <c r="H75" s="25">
        <f t="shared" si="14"/>
        <v>86158284</v>
      </c>
      <c r="I75" s="166">
        <f>SUM(I76:I80)</f>
        <v>85777633</v>
      </c>
      <c r="J75" s="25">
        <f>SUM(J76:J80)</f>
        <v>-380651</v>
      </c>
      <c r="K75" s="161">
        <f t="shared" si="15"/>
        <v>0.9955819570408343</v>
      </c>
      <c r="L75" s="5"/>
      <c r="M75" s="62"/>
    </row>
    <row r="76" spans="1:13" ht="15" hidden="1" outlineLevel="1">
      <c r="A76" s="150" t="s">
        <v>147</v>
      </c>
      <c r="B76" s="29"/>
      <c r="C76" s="20"/>
      <c r="D76" s="20"/>
      <c r="E76" s="49">
        <v>19750986</v>
      </c>
      <c r="F76" s="49">
        <f t="shared" si="13"/>
        <v>19750986</v>
      </c>
      <c r="G76" s="49"/>
      <c r="H76" s="49">
        <f t="shared" si="14"/>
        <v>19750986</v>
      </c>
      <c r="I76" s="168">
        <v>19706114</v>
      </c>
      <c r="J76" s="49">
        <f>+I76-H76</f>
        <v>-44872</v>
      </c>
      <c r="K76" s="162">
        <f t="shared" si="15"/>
        <v>0.9977281134217806</v>
      </c>
      <c r="L76" s="5"/>
      <c r="M76" s="62"/>
    </row>
    <row r="77" spans="1:13" ht="15" hidden="1" outlineLevel="1">
      <c r="A77" s="150" t="s">
        <v>123</v>
      </c>
      <c r="B77" s="29"/>
      <c r="C77" s="20"/>
      <c r="D77" s="20"/>
      <c r="E77" s="49">
        <v>3000000</v>
      </c>
      <c r="F77" s="49">
        <f t="shared" si="13"/>
        <v>3000000</v>
      </c>
      <c r="G77" s="49"/>
      <c r="H77" s="49">
        <f t="shared" si="14"/>
        <v>3000000</v>
      </c>
      <c r="I77" s="168">
        <v>2979426</v>
      </c>
      <c r="J77" s="49">
        <f>+I77-H77</f>
        <v>-20574</v>
      </c>
      <c r="K77" s="162">
        <f t="shared" si="15"/>
        <v>0.993142</v>
      </c>
      <c r="L77" s="5"/>
      <c r="M77" s="62"/>
    </row>
    <row r="78" spans="1:13" ht="15" hidden="1" outlineLevel="1">
      <c r="A78" s="150" t="s">
        <v>124</v>
      </c>
      <c r="B78" s="29"/>
      <c r="C78" s="20"/>
      <c r="D78" s="20"/>
      <c r="E78" s="49">
        <v>2600000</v>
      </c>
      <c r="F78" s="49">
        <f t="shared" si="13"/>
        <v>2600000</v>
      </c>
      <c r="G78" s="49"/>
      <c r="H78" s="49">
        <f t="shared" si="14"/>
        <v>2600000</v>
      </c>
      <c r="I78" s="168">
        <v>2574693</v>
      </c>
      <c r="J78" s="49">
        <f>+I78-H78</f>
        <v>-25307</v>
      </c>
      <c r="K78" s="162">
        <f t="shared" si="15"/>
        <v>0.9902665384615384</v>
      </c>
      <c r="L78" s="5"/>
      <c r="M78" s="62"/>
    </row>
    <row r="79" spans="1:13" ht="15" hidden="1" outlineLevel="1">
      <c r="A79" s="150" t="s">
        <v>148</v>
      </c>
      <c r="B79" s="29"/>
      <c r="C79" s="20"/>
      <c r="D79" s="20"/>
      <c r="E79" s="49">
        <v>7000000</v>
      </c>
      <c r="F79" s="49">
        <f t="shared" si="13"/>
        <v>7000000</v>
      </c>
      <c r="G79" s="49"/>
      <c r="H79" s="49">
        <f t="shared" si="14"/>
        <v>7000000</v>
      </c>
      <c r="I79" s="168">
        <v>7000000</v>
      </c>
      <c r="J79" s="49">
        <f>+I79-H79</f>
        <v>0</v>
      </c>
      <c r="K79" s="162">
        <f t="shared" si="15"/>
        <v>1</v>
      </c>
      <c r="L79" s="5"/>
      <c r="M79" s="62"/>
    </row>
    <row r="80" spans="1:13" s="33" customFormat="1" ht="14.25" hidden="1" outlineLevel="1">
      <c r="A80" s="150" t="s">
        <v>154</v>
      </c>
      <c r="B80" s="46"/>
      <c r="C80" s="20"/>
      <c r="D80" s="20"/>
      <c r="E80" s="49">
        <v>53807298</v>
      </c>
      <c r="F80" s="49">
        <f t="shared" si="13"/>
        <v>53807298</v>
      </c>
      <c r="G80" s="49"/>
      <c r="H80" s="49">
        <f t="shared" si="14"/>
        <v>53807298</v>
      </c>
      <c r="I80" s="168">
        <v>53517400</v>
      </c>
      <c r="J80" s="49">
        <f>+I80-H80</f>
        <v>-289898</v>
      </c>
      <c r="K80" s="162">
        <f t="shared" si="15"/>
        <v>0.9946122921838595</v>
      </c>
      <c r="L80" s="5"/>
      <c r="M80" s="62"/>
    </row>
    <row r="81" spans="1:13" ht="15" collapsed="1">
      <c r="A81" s="152" t="s">
        <v>134</v>
      </c>
      <c r="B81" s="29"/>
      <c r="C81" s="20"/>
      <c r="D81" s="20"/>
      <c r="E81" s="25">
        <f>SUM(E82:E87)</f>
        <v>129414105</v>
      </c>
      <c r="F81" s="18">
        <f>+SUM(B81:E81)</f>
        <v>129414105</v>
      </c>
      <c r="G81" s="25"/>
      <c r="H81" s="25">
        <f t="shared" si="14"/>
        <v>129414105</v>
      </c>
      <c r="I81" s="166">
        <f>SUM(I82:I87)</f>
        <v>113419170</v>
      </c>
      <c r="J81" s="25">
        <f>SUM(J82:J87)</f>
        <v>-15994935</v>
      </c>
      <c r="K81" s="161">
        <f t="shared" si="15"/>
        <v>0.8764050101030332</v>
      </c>
      <c r="L81" s="5"/>
      <c r="M81" s="62"/>
    </row>
    <row r="82" spans="1:13" ht="15" hidden="1" outlineLevel="1">
      <c r="A82" s="150" t="s">
        <v>126</v>
      </c>
      <c r="B82" s="29"/>
      <c r="C82" s="20"/>
      <c r="D82" s="20"/>
      <c r="E82" s="49">
        <v>46633308</v>
      </c>
      <c r="F82" s="49">
        <f t="shared" si="13"/>
        <v>46633308</v>
      </c>
      <c r="G82" s="49"/>
      <c r="H82" s="49">
        <f t="shared" si="14"/>
        <v>46633308</v>
      </c>
      <c r="I82" s="168">
        <v>44958070</v>
      </c>
      <c r="J82" s="49">
        <f aca="true" t="shared" si="16" ref="J82:J103">+I82-H82</f>
        <v>-1675238</v>
      </c>
      <c r="K82" s="162">
        <f t="shared" si="15"/>
        <v>0.9640763636154656</v>
      </c>
      <c r="L82" s="5"/>
      <c r="M82" s="62"/>
    </row>
    <row r="83" spans="1:13" ht="15" hidden="1" outlineLevel="1">
      <c r="A83" s="150" t="s">
        <v>127</v>
      </c>
      <c r="B83" s="29"/>
      <c r="C83" s="20"/>
      <c r="D83" s="20"/>
      <c r="E83" s="49">
        <v>31860797</v>
      </c>
      <c r="F83" s="49">
        <f t="shared" si="13"/>
        <v>31860797</v>
      </c>
      <c r="G83" s="49"/>
      <c r="H83" s="49">
        <f t="shared" si="14"/>
        <v>31860797</v>
      </c>
      <c r="I83" s="168">
        <v>29979401</v>
      </c>
      <c r="J83" s="49">
        <f t="shared" si="16"/>
        <v>-1881396</v>
      </c>
      <c r="K83" s="162">
        <f t="shared" si="15"/>
        <v>0.9409494997880938</v>
      </c>
      <c r="L83" s="5"/>
      <c r="M83" s="62"/>
    </row>
    <row r="84" spans="1:13" ht="15" hidden="1" outlineLevel="1">
      <c r="A84" s="150" t="s">
        <v>155</v>
      </c>
      <c r="B84" s="29"/>
      <c r="C84" s="20"/>
      <c r="D84" s="20"/>
      <c r="E84" s="49">
        <v>10920000</v>
      </c>
      <c r="F84" s="49">
        <f t="shared" si="13"/>
        <v>10920000</v>
      </c>
      <c r="G84" s="49"/>
      <c r="H84" s="49">
        <f t="shared" si="14"/>
        <v>10920000</v>
      </c>
      <c r="I84" s="168">
        <v>9198009</v>
      </c>
      <c r="J84" s="49">
        <f t="shared" si="16"/>
        <v>-1721991</v>
      </c>
      <c r="K84" s="162">
        <f t="shared" si="15"/>
        <v>0.8423085164835165</v>
      </c>
      <c r="L84" s="5"/>
      <c r="M84" s="62"/>
    </row>
    <row r="85" spans="1:13" ht="15" hidden="1" outlineLevel="1">
      <c r="A85" s="150" t="s">
        <v>202</v>
      </c>
      <c r="B85" s="29"/>
      <c r="C85" s="20"/>
      <c r="D85" s="20"/>
      <c r="E85" s="49">
        <f>31000000-7200000</f>
        <v>23800000</v>
      </c>
      <c r="F85" s="49">
        <f t="shared" si="13"/>
        <v>23800000</v>
      </c>
      <c r="G85" s="49"/>
      <c r="H85" s="49">
        <f t="shared" si="14"/>
        <v>23800000</v>
      </c>
      <c r="I85" s="168">
        <v>13664360</v>
      </c>
      <c r="J85" s="49">
        <f t="shared" si="16"/>
        <v>-10135640</v>
      </c>
      <c r="K85" s="162">
        <f t="shared" si="15"/>
        <v>0.5741327731092437</v>
      </c>
      <c r="L85" s="5"/>
      <c r="M85" s="62"/>
    </row>
    <row r="86" spans="1:13" ht="15" hidden="1" outlineLevel="1">
      <c r="A86" s="150" t="s">
        <v>125</v>
      </c>
      <c r="B86" s="29"/>
      <c r="C86" s="20"/>
      <c r="D86" s="20"/>
      <c r="E86" s="49">
        <v>1000000</v>
      </c>
      <c r="F86" s="49">
        <f t="shared" si="13"/>
        <v>1000000</v>
      </c>
      <c r="G86" s="49"/>
      <c r="H86" s="49">
        <f t="shared" si="14"/>
        <v>1000000</v>
      </c>
      <c r="I86" s="168">
        <v>741240</v>
      </c>
      <c r="J86" s="49">
        <f t="shared" si="16"/>
        <v>-258760</v>
      </c>
      <c r="K86" s="162">
        <f t="shared" si="15"/>
        <v>0.74124</v>
      </c>
      <c r="L86" s="5"/>
      <c r="M86" s="62"/>
    </row>
    <row r="87" spans="1:13" ht="15" hidden="1" outlineLevel="1">
      <c r="A87" s="150" t="s">
        <v>128</v>
      </c>
      <c r="B87" s="29"/>
      <c r="C87" s="20"/>
      <c r="D87" s="20"/>
      <c r="E87" s="49">
        <f>8000000+7200000</f>
        <v>15200000</v>
      </c>
      <c r="F87" s="49">
        <f t="shared" si="13"/>
        <v>15200000</v>
      </c>
      <c r="G87" s="49"/>
      <c r="H87" s="49">
        <f t="shared" si="14"/>
        <v>15200000</v>
      </c>
      <c r="I87" s="168">
        <v>14878090</v>
      </c>
      <c r="J87" s="49">
        <f t="shared" si="16"/>
        <v>-321910</v>
      </c>
      <c r="K87" s="162">
        <f t="shared" si="15"/>
        <v>0.9788217105263158</v>
      </c>
      <c r="L87" s="5"/>
      <c r="M87" s="62"/>
    </row>
    <row r="88" spans="1:13" ht="15" collapsed="1">
      <c r="A88" s="151" t="s">
        <v>110</v>
      </c>
      <c r="B88" s="29"/>
      <c r="C88" s="20"/>
      <c r="D88" s="20"/>
      <c r="E88" s="25">
        <f>+E89+E90+E91+E92+E95+E93+E94</f>
        <v>335694760</v>
      </c>
      <c r="F88" s="18">
        <f>+SUM(B88:E88)</f>
        <v>335694760</v>
      </c>
      <c r="G88" s="25"/>
      <c r="H88" s="25">
        <f>+G88+F88</f>
        <v>335694760</v>
      </c>
      <c r="I88" s="166">
        <f>SUM(I89:I95)</f>
        <v>325554966</v>
      </c>
      <c r="J88" s="25">
        <f t="shared" si="16"/>
        <v>-10139794</v>
      </c>
      <c r="K88" s="161">
        <f t="shared" si="15"/>
        <v>0.9697946015004821</v>
      </c>
      <c r="L88" s="5"/>
      <c r="M88" s="62"/>
    </row>
    <row r="89" spans="1:13" ht="15" customHeight="1" hidden="1" outlineLevel="1">
      <c r="A89" s="89" t="s">
        <v>129</v>
      </c>
      <c r="B89" s="29"/>
      <c r="C89" s="20"/>
      <c r="D89" s="20"/>
      <c r="E89" s="49">
        <f>50000000+7500000</f>
        <v>57500000</v>
      </c>
      <c r="F89" s="49">
        <f t="shared" si="13"/>
        <v>57500000</v>
      </c>
      <c r="G89" s="49"/>
      <c r="H89" s="49">
        <f t="shared" si="14"/>
        <v>57500000</v>
      </c>
      <c r="I89" s="168">
        <v>53847650</v>
      </c>
      <c r="J89" s="49">
        <f t="shared" si="16"/>
        <v>-3652350</v>
      </c>
      <c r="K89" s="162">
        <f t="shared" si="15"/>
        <v>0.9364808695652174</v>
      </c>
      <c r="L89" s="5"/>
      <c r="M89" s="62"/>
    </row>
    <row r="90" spans="1:13" ht="15" customHeight="1" hidden="1" outlineLevel="1">
      <c r="A90" s="89" t="s">
        <v>130</v>
      </c>
      <c r="B90" s="29"/>
      <c r="C90" s="20"/>
      <c r="D90" s="20"/>
      <c r="E90" s="49">
        <v>250000000</v>
      </c>
      <c r="F90" s="49">
        <f t="shared" si="13"/>
        <v>250000000</v>
      </c>
      <c r="G90" s="49"/>
      <c r="H90" s="49">
        <f t="shared" si="14"/>
        <v>250000000</v>
      </c>
      <c r="I90" s="168">
        <v>246846849</v>
      </c>
      <c r="J90" s="49">
        <f t="shared" si="16"/>
        <v>-3153151</v>
      </c>
      <c r="K90" s="162">
        <f t="shared" si="15"/>
        <v>0.987387396</v>
      </c>
      <c r="L90" s="5"/>
      <c r="M90" s="62"/>
    </row>
    <row r="91" spans="1:13" ht="15" customHeight="1" hidden="1" outlineLevel="1">
      <c r="A91" s="150" t="s">
        <v>111</v>
      </c>
      <c r="B91" s="29"/>
      <c r="C91" s="20"/>
      <c r="D91" s="20"/>
      <c r="E91" s="49">
        <v>9200000</v>
      </c>
      <c r="F91" s="49">
        <f t="shared" si="13"/>
        <v>9200000</v>
      </c>
      <c r="G91" s="49"/>
      <c r="H91" s="49">
        <f t="shared" si="14"/>
        <v>9200000</v>
      </c>
      <c r="I91" s="168">
        <v>8020472</v>
      </c>
      <c r="J91" s="49">
        <f t="shared" si="16"/>
        <v>-1179528</v>
      </c>
      <c r="K91" s="162">
        <f t="shared" si="15"/>
        <v>0.8717904347826086</v>
      </c>
      <c r="L91" s="5"/>
      <c r="M91" s="62"/>
    </row>
    <row r="92" spans="1:13" ht="15" customHeight="1" hidden="1" outlineLevel="1">
      <c r="A92" s="150" t="s">
        <v>131</v>
      </c>
      <c r="B92" s="29"/>
      <c r="C92" s="20"/>
      <c r="D92" s="20"/>
      <c r="E92" s="49">
        <v>1500000</v>
      </c>
      <c r="F92" s="49">
        <f t="shared" si="13"/>
        <v>1500000</v>
      </c>
      <c r="G92" s="49"/>
      <c r="H92" s="49">
        <f t="shared" si="14"/>
        <v>1500000</v>
      </c>
      <c r="I92" s="168">
        <v>1464250</v>
      </c>
      <c r="J92" s="49">
        <f t="shared" si="16"/>
        <v>-35750</v>
      </c>
      <c r="K92" s="162">
        <f t="shared" si="15"/>
        <v>0.9761666666666666</v>
      </c>
      <c r="L92" s="5"/>
      <c r="M92" s="62"/>
    </row>
    <row r="93" spans="1:13" ht="15" customHeight="1" hidden="1" outlineLevel="1">
      <c r="A93" s="150" t="s">
        <v>149</v>
      </c>
      <c r="B93" s="29"/>
      <c r="C93" s="20"/>
      <c r="D93" s="20"/>
      <c r="E93" s="49">
        <v>5000000</v>
      </c>
      <c r="F93" s="49">
        <f t="shared" si="13"/>
        <v>5000000</v>
      </c>
      <c r="G93" s="49"/>
      <c r="H93" s="49">
        <f t="shared" si="14"/>
        <v>5000000</v>
      </c>
      <c r="I93" s="168">
        <v>4984363</v>
      </c>
      <c r="J93" s="49">
        <f t="shared" si="16"/>
        <v>-15637</v>
      </c>
      <c r="K93" s="162">
        <f t="shared" si="15"/>
        <v>0.9968726</v>
      </c>
      <c r="L93" s="5"/>
      <c r="M93" s="62"/>
    </row>
    <row r="94" spans="1:13" ht="15" customHeight="1" hidden="1" outlineLevel="1">
      <c r="A94" s="150" t="s">
        <v>132</v>
      </c>
      <c r="B94" s="29"/>
      <c r="C94" s="20"/>
      <c r="D94" s="20"/>
      <c r="E94" s="49">
        <v>12494760</v>
      </c>
      <c r="F94" s="49">
        <f t="shared" si="13"/>
        <v>12494760</v>
      </c>
      <c r="G94" s="49"/>
      <c r="H94" s="49">
        <f t="shared" si="14"/>
        <v>12494760</v>
      </c>
      <c r="I94" s="168">
        <v>10391382</v>
      </c>
      <c r="J94" s="49">
        <f t="shared" si="16"/>
        <v>-2103378</v>
      </c>
      <c r="K94" s="162">
        <f t="shared" si="15"/>
        <v>0.8316591915330906</v>
      </c>
      <c r="L94" s="5"/>
      <c r="M94" s="62"/>
    </row>
    <row r="95" spans="1:13" ht="15" customHeight="1" hidden="1" outlineLevel="1">
      <c r="A95" s="150" t="s">
        <v>156</v>
      </c>
      <c r="B95" s="29"/>
      <c r="C95" s="20"/>
      <c r="D95" s="20"/>
      <c r="E95" s="49">
        <v>0</v>
      </c>
      <c r="F95" s="49">
        <f t="shared" si="13"/>
        <v>0</v>
      </c>
      <c r="G95" s="49"/>
      <c r="H95" s="49">
        <f t="shared" si="14"/>
        <v>0</v>
      </c>
      <c r="I95" s="168"/>
      <c r="J95" s="49">
        <f t="shared" si="16"/>
        <v>0</v>
      </c>
      <c r="K95" s="162" t="e">
        <f t="shared" si="15"/>
        <v>#DIV/0!</v>
      </c>
      <c r="L95" s="5"/>
      <c r="M95" s="62"/>
    </row>
    <row r="96" spans="1:13" ht="15" collapsed="1">
      <c r="A96" s="163" t="s">
        <v>112</v>
      </c>
      <c r="B96" s="29"/>
      <c r="C96" s="20"/>
      <c r="D96" s="20"/>
      <c r="E96" s="25">
        <f>+E97+E98+E99</f>
        <v>274327640</v>
      </c>
      <c r="F96" s="25">
        <f t="shared" si="13"/>
        <v>274327640</v>
      </c>
      <c r="G96" s="25"/>
      <c r="H96" s="25">
        <f aca="true" t="shared" si="17" ref="H96:H103">+G96+F96</f>
        <v>274327640</v>
      </c>
      <c r="I96" s="166">
        <f>+I97+I98+I99</f>
        <v>64475036</v>
      </c>
      <c r="J96" s="25">
        <f t="shared" si="16"/>
        <v>-209852604</v>
      </c>
      <c r="K96" s="161">
        <f t="shared" si="15"/>
        <v>0.23502931020731269</v>
      </c>
      <c r="L96" s="5"/>
      <c r="M96" s="62"/>
    </row>
    <row r="97" spans="1:13" ht="15" hidden="1" outlineLevel="1">
      <c r="A97" s="89" t="s">
        <v>113</v>
      </c>
      <c r="B97" s="29"/>
      <c r="C97" s="20"/>
      <c r="D97" s="20"/>
      <c r="E97" s="49">
        <f>22184783+5600000</f>
        <v>27784783</v>
      </c>
      <c r="F97" s="49">
        <f t="shared" si="13"/>
        <v>27784783</v>
      </c>
      <c r="G97" s="49"/>
      <c r="H97" s="49">
        <f t="shared" si="17"/>
        <v>27784783</v>
      </c>
      <c r="I97" s="168">
        <v>27772780</v>
      </c>
      <c r="J97" s="49">
        <f t="shared" si="16"/>
        <v>-12003</v>
      </c>
      <c r="K97" s="162">
        <f t="shared" si="15"/>
        <v>0.9995680009449777</v>
      </c>
      <c r="L97" s="5"/>
      <c r="M97" s="62"/>
    </row>
    <row r="98" spans="1:13" ht="15" hidden="1" outlineLevel="1">
      <c r="A98" s="89" t="s">
        <v>141</v>
      </c>
      <c r="B98" s="29"/>
      <c r="C98" s="20"/>
      <c r="D98" s="20"/>
      <c r="E98" s="49">
        <v>0</v>
      </c>
      <c r="F98" s="49">
        <f t="shared" si="13"/>
        <v>0</v>
      </c>
      <c r="G98" s="49"/>
      <c r="H98" s="49">
        <f t="shared" si="17"/>
        <v>0</v>
      </c>
      <c r="I98" s="168">
        <v>0</v>
      </c>
      <c r="J98" s="49">
        <f t="shared" si="16"/>
        <v>0</v>
      </c>
      <c r="K98" s="162" t="e">
        <f t="shared" si="15"/>
        <v>#DIV/0!</v>
      </c>
      <c r="L98" s="5"/>
      <c r="M98" s="62"/>
    </row>
    <row r="99" spans="1:13" ht="15" hidden="1" outlineLevel="1">
      <c r="A99" s="89" t="s">
        <v>150</v>
      </c>
      <c r="B99" s="29"/>
      <c r="C99" s="20"/>
      <c r="D99" s="20"/>
      <c r="E99" s="49">
        <f>252142857-5600000</f>
        <v>246542857</v>
      </c>
      <c r="F99" s="49">
        <f t="shared" si="13"/>
        <v>246542857</v>
      </c>
      <c r="G99" s="49"/>
      <c r="H99" s="49">
        <f t="shared" si="17"/>
        <v>246542857</v>
      </c>
      <c r="I99" s="168">
        <v>36702256</v>
      </c>
      <c r="J99" s="49">
        <f t="shared" si="16"/>
        <v>-209840601</v>
      </c>
      <c r="K99" s="162">
        <f t="shared" si="15"/>
        <v>0.1488676510307496</v>
      </c>
      <c r="L99" s="5"/>
      <c r="M99" s="62"/>
    </row>
    <row r="100" spans="1:13" ht="15" collapsed="1">
      <c r="A100" s="163" t="s">
        <v>133</v>
      </c>
      <c r="B100" s="29"/>
      <c r="C100" s="20"/>
      <c r="D100" s="20"/>
      <c r="E100" s="25">
        <f>+E101</f>
        <v>43415714</v>
      </c>
      <c r="F100" s="25">
        <f t="shared" si="13"/>
        <v>43415714</v>
      </c>
      <c r="G100" s="25"/>
      <c r="H100" s="25">
        <f t="shared" si="17"/>
        <v>43415714</v>
      </c>
      <c r="I100" s="166">
        <f>+I101</f>
        <v>41945548</v>
      </c>
      <c r="J100" s="25">
        <f t="shared" si="16"/>
        <v>-1470166</v>
      </c>
      <c r="K100" s="161">
        <f t="shared" si="15"/>
        <v>0.9661374681065938</v>
      </c>
      <c r="L100" s="5"/>
      <c r="M100" s="62"/>
    </row>
    <row r="101" spans="1:13" ht="15" hidden="1" outlineLevel="1">
      <c r="A101" s="89" t="s">
        <v>168</v>
      </c>
      <c r="B101" s="29"/>
      <c r="C101" s="20"/>
      <c r="D101" s="20"/>
      <c r="E101" s="49">
        <v>43415714</v>
      </c>
      <c r="F101" s="49">
        <f t="shared" si="13"/>
        <v>43415714</v>
      </c>
      <c r="G101" s="49"/>
      <c r="H101" s="49">
        <f t="shared" si="17"/>
        <v>43415714</v>
      </c>
      <c r="I101" s="168">
        <v>41945548</v>
      </c>
      <c r="J101" s="49">
        <f t="shared" si="16"/>
        <v>-1470166</v>
      </c>
      <c r="K101" s="162">
        <f t="shared" si="15"/>
        <v>0.9661374681065938</v>
      </c>
      <c r="L101" s="5"/>
      <c r="M101" s="62"/>
    </row>
    <row r="102" spans="1:13" ht="15" collapsed="1">
      <c r="A102" s="163" t="s">
        <v>210</v>
      </c>
      <c r="B102" s="29"/>
      <c r="C102" s="20"/>
      <c r="D102" s="20"/>
      <c r="E102" s="25">
        <f>+E103</f>
        <v>85088400</v>
      </c>
      <c r="F102" s="25">
        <f t="shared" si="13"/>
        <v>85088400</v>
      </c>
      <c r="G102" s="25"/>
      <c r="H102" s="25">
        <f t="shared" si="17"/>
        <v>85088400</v>
      </c>
      <c r="I102" s="166">
        <f>+I103</f>
        <v>0</v>
      </c>
      <c r="J102" s="25">
        <f t="shared" si="16"/>
        <v>-85088400</v>
      </c>
      <c r="K102" s="161">
        <f t="shared" si="15"/>
        <v>0</v>
      </c>
      <c r="L102" s="5"/>
      <c r="M102" s="62"/>
    </row>
    <row r="103" spans="1:13" ht="15" hidden="1" outlineLevel="1">
      <c r="A103" s="89" t="s">
        <v>211</v>
      </c>
      <c r="B103" s="29"/>
      <c r="C103" s="20"/>
      <c r="D103" s="20"/>
      <c r="E103" s="49">
        <v>85088400</v>
      </c>
      <c r="F103" s="49">
        <f t="shared" si="13"/>
        <v>85088400</v>
      </c>
      <c r="G103" s="49"/>
      <c r="H103" s="49">
        <f t="shared" si="17"/>
        <v>85088400</v>
      </c>
      <c r="I103" s="168">
        <v>0</v>
      </c>
      <c r="J103" s="49">
        <f t="shared" si="16"/>
        <v>-85088400</v>
      </c>
      <c r="K103" s="162">
        <f t="shared" si="15"/>
        <v>0</v>
      </c>
      <c r="L103" s="5"/>
      <c r="M103" s="62"/>
    </row>
    <row r="104" spans="1:13" ht="15" collapsed="1">
      <c r="A104" s="89"/>
      <c r="B104" s="29"/>
      <c r="C104" s="20"/>
      <c r="D104" s="20"/>
      <c r="E104" s="49"/>
      <c r="F104" s="49"/>
      <c r="G104" s="17"/>
      <c r="H104" s="18"/>
      <c r="I104" s="169"/>
      <c r="J104" s="18"/>
      <c r="K104" s="162"/>
      <c r="L104" s="5"/>
      <c r="M104" s="62"/>
    </row>
    <row r="105" spans="1:13" ht="15">
      <c r="A105" s="89"/>
      <c r="B105" s="29"/>
      <c r="C105" s="20"/>
      <c r="D105" s="20"/>
      <c r="E105" s="49"/>
      <c r="F105" s="49"/>
      <c r="G105" s="17"/>
      <c r="H105" s="18"/>
      <c r="I105" s="169"/>
      <c r="J105" s="18"/>
      <c r="K105" s="162"/>
      <c r="L105" s="5"/>
      <c r="M105" s="62"/>
    </row>
    <row r="106" spans="1:13" s="68" customFormat="1" ht="15.75" customHeight="1">
      <c r="A106" s="15" t="s">
        <v>12</v>
      </c>
      <c r="B106" s="29"/>
      <c r="C106" s="18">
        <f>+C107+C113+C124+C128</f>
        <v>158505645</v>
      </c>
      <c r="D106" s="20"/>
      <c r="E106" s="17"/>
      <c r="F106" s="25">
        <f aca="true" t="shared" si="18" ref="F106:F130">+E106+D106+C106+B106</f>
        <v>158505645</v>
      </c>
      <c r="G106" s="20"/>
      <c r="H106" s="18">
        <f aca="true" t="shared" si="19" ref="H106:H130">+G106+F106</f>
        <v>158505645</v>
      </c>
      <c r="I106" s="18">
        <f>+I107+I113+I124+I128</f>
        <v>143216407</v>
      </c>
      <c r="J106" s="18">
        <f>+J107+J113+J124+J128</f>
        <v>-15265696</v>
      </c>
      <c r="K106" s="161">
        <f t="shared" si="15"/>
        <v>0.9035413659873123</v>
      </c>
      <c r="L106" s="70"/>
      <c r="M106" s="62"/>
    </row>
    <row r="107" spans="1:13" s="68" customFormat="1" ht="15">
      <c r="A107" s="23" t="s">
        <v>65</v>
      </c>
      <c r="B107" s="29"/>
      <c r="C107" s="164">
        <f>+C108+C109+C110+C111+C112</f>
        <v>3000000</v>
      </c>
      <c r="D107" s="49"/>
      <c r="E107" s="153"/>
      <c r="F107" s="25">
        <f t="shared" si="18"/>
        <v>3000000</v>
      </c>
      <c r="G107" s="153"/>
      <c r="H107" s="164">
        <f t="shared" si="19"/>
        <v>3000000</v>
      </c>
      <c r="I107" s="164">
        <f>SUM(I108:I112)</f>
        <v>2053200</v>
      </c>
      <c r="J107" s="164">
        <f aca="true" t="shared" si="20" ref="J107:J112">+I107-H107</f>
        <v>-946800</v>
      </c>
      <c r="K107" s="161">
        <f t="shared" si="15"/>
        <v>0.6844</v>
      </c>
      <c r="L107" s="67"/>
      <c r="M107" s="62"/>
    </row>
    <row r="108" spans="1:13" s="68" customFormat="1" ht="15" hidden="1" outlineLevel="1">
      <c r="A108" s="90" t="s">
        <v>143</v>
      </c>
      <c r="B108" s="29"/>
      <c r="C108" s="46">
        <v>0</v>
      </c>
      <c r="D108" s="20"/>
      <c r="E108" s="27"/>
      <c r="F108" s="49">
        <f t="shared" si="18"/>
        <v>0</v>
      </c>
      <c r="G108" s="27"/>
      <c r="H108" s="46">
        <f t="shared" si="19"/>
        <v>0</v>
      </c>
      <c r="I108" s="46">
        <v>0</v>
      </c>
      <c r="J108" s="46">
        <f t="shared" si="20"/>
        <v>0</v>
      </c>
      <c r="K108" s="162" t="e">
        <f t="shared" si="15"/>
        <v>#DIV/0!</v>
      </c>
      <c r="L108" s="67"/>
      <c r="M108" s="62"/>
    </row>
    <row r="109" spans="1:13" s="68" customFormat="1" ht="15" hidden="1" outlineLevel="1">
      <c r="A109" s="90" t="s">
        <v>144</v>
      </c>
      <c r="B109" s="29"/>
      <c r="C109" s="46">
        <v>0</v>
      </c>
      <c r="D109" s="20"/>
      <c r="E109" s="27"/>
      <c r="F109" s="49">
        <f t="shared" si="18"/>
        <v>0</v>
      </c>
      <c r="G109" s="27"/>
      <c r="H109" s="46">
        <f t="shared" si="19"/>
        <v>0</v>
      </c>
      <c r="I109" s="46">
        <v>0</v>
      </c>
      <c r="J109" s="46">
        <f t="shared" si="20"/>
        <v>0</v>
      </c>
      <c r="K109" s="162" t="e">
        <f t="shared" si="15"/>
        <v>#DIV/0!</v>
      </c>
      <c r="L109" s="67"/>
      <c r="M109" s="62"/>
    </row>
    <row r="110" spans="1:13" s="68" customFormat="1" ht="15" hidden="1" outlineLevel="1">
      <c r="A110" s="90" t="s">
        <v>142</v>
      </c>
      <c r="B110" s="29"/>
      <c r="C110" s="46">
        <v>0</v>
      </c>
      <c r="D110" s="20"/>
      <c r="E110" s="27"/>
      <c r="F110" s="49">
        <f t="shared" si="18"/>
        <v>0</v>
      </c>
      <c r="G110" s="27"/>
      <c r="H110" s="46">
        <f t="shared" si="19"/>
        <v>0</v>
      </c>
      <c r="I110" s="46">
        <v>0</v>
      </c>
      <c r="J110" s="46">
        <f t="shared" si="20"/>
        <v>0</v>
      </c>
      <c r="K110" s="162" t="e">
        <f t="shared" si="15"/>
        <v>#DIV/0!</v>
      </c>
      <c r="L110" s="67"/>
      <c r="M110" s="62"/>
    </row>
    <row r="111" spans="1:13" s="68" customFormat="1" ht="15" hidden="1" outlineLevel="1">
      <c r="A111" s="90" t="s">
        <v>145</v>
      </c>
      <c r="B111" s="29"/>
      <c r="C111" s="46">
        <v>0</v>
      </c>
      <c r="D111" s="20"/>
      <c r="E111" s="27"/>
      <c r="F111" s="49">
        <f t="shared" si="18"/>
        <v>0</v>
      </c>
      <c r="G111" s="27"/>
      <c r="H111" s="46">
        <f t="shared" si="19"/>
        <v>0</v>
      </c>
      <c r="I111" s="46">
        <v>0</v>
      </c>
      <c r="J111" s="46">
        <f t="shared" si="20"/>
        <v>0</v>
      </c>
      <c r="K111" s="162" t="e">
        <f t="shared" si="15"/>
        <v>#DIV/0!</v>
      </c>
      <c r="L111" s="67"/>
      <c r="M111" s="62"/>
    </row>
    <row r="112" spans="1:13" s="68" customFormat="1" ht="15" hidden="1" outlineLevel="1">
      <c r="A112" s="24" t="s">
        <v>120</v>
      </c>
      <c r="B112" s="29"/>
      <c r="C112" s="142">
        <v>3000000</v>
      </c>
      <c r="D112" s="20"/>
      <c r="E112" s="17"/>
      <c r="F112" s="49">
        <f t="shared" si="18"/>
        <v>3000000</v>
      </c>
      <c r="G112" s="17"/>
      <c r="H112" s="142">
        <f t="shared" si="19"/>
        <v>3000000</v>
      </c>
      <c r="I112" s="142">
        <v>2053200</v>
      </c>
      <c r="J112" s="142">
        <f t="shared" si="20"/>
        <v>-946800</v>
      </c>
      <c r="K112" s="162">
        <f t="shared" si="15"/>
        <v>0.6844</v>
      </c>
      <c r="L112" s="67"/>
      <c r="M112" s="62"/>
    </row>
    <row r="113" spans="1:13" s="68" customFormat="1" ht="15" collapsed="1">
      <c r="A113" s="23" t="s">
        <v>13</v>
      </c>
      <c r="B113" s="18"/>
      <c r="C113" s="18">
        <f>+C114+C118</f>
        <v>48125645</v>
      </c>
      <c r="D113" s="17"/>
      <c r="E113" s="17"/>
      <c r="F113" s="25">
        <f t="shared" si="18"/>
        <v>48125645</v>
      </c>
      <c r="G113" s="17"/>
      <c r="H113" s="18">
        <f t="shared" si="19"/>
        <v>48125645</v>
      </c>
      <c r="I113" s="18">
        <f>+I114+I118</f>
        <v>34040375</v>
      </c>
      <c r="J113" s="18">
        <f>+J114+J118</f>
        <v>-14085270</v>
      </c>
      <c r="K113" s="161">
        <f t="shared" si="15"/>
        <v>0.7073229875672316</v>
      </c>
      <c r="L113" s="67"/>
      <c r="M113" s="62"/>
    </row>
    <row r="114" spans="1:13" s="68" customFormat="1" ht="15" hidden="1" outlineLevel="1">
      <c r="A114" s="89" t="s">
        <v>189</v>
      </c>
      <c r="B114" s="20"/>
      <c r="C114" s="49">
        <f>+C115+C116+C117</f>
        <v>18300000</v>
      </c>
      <c r="D114" s="17"/>
      <c r="E114" s="17"/>
      <c r="F114" s="25">
        <f t="shared" si="18"/>
        <v>18300000</v>
      </c>
      <c r="G114" s="17"/>
      <c r="H114" s="49">
        <f t="shared" si="19"/>
        <v>18300000</v>
      </c>
      <c r="I114" s="49">
        <f>+I115+I116+I117</f>
        <v>11961250</v>
      </c>
      <c r="J114" s="49">
        <f>SUM(J115:J117)</f>
        <v>-6338750</v>
      </c>
      <c r="K114" s="162">
        <f t="shared" si="15"/>
        <v>0.653620218579235</v>
      </c>
      <c r="L114" s="67"/>
      <c r="M114" s="62"/>
    </row>
    <row r="115" spans="1:13" s="68" customFormat="1" ht="14.25" hidden="1" outlineLevel="2">
      <c r="A115" s="24" t="s">
        <v>190</v>
      </c>
      <c r="B115" s="20"/>
      <c r="C115" s="20">
        <v>0</v>
      </c>
      <c r="D115" s="17"/>
      <c r="E115" s="17"/>
      <c r="F115" s="49">
        <f t="shared" si="18"/>
        <v>0</v>
      </c>
      <c r="G115" s="17"/>
      <c r="H115" s="20">
        <f t="shared" si="19"/>
        <v>0</v>
      </c>
      <c r="I115" s="20">
        <v>0</v>
      </c>
      <c r="J115" s="20">
        <f aca="true" t="shared" si="21" ref="J115:J122">+I115-H115</f>
        <v>0</v>
      </c>
      <c r="K115" s="162" t="e">
        <f t="shared" si="15"/>
        <v>#DIV/0!</v>
      </c>
      <c r="L115" s="67"/>
      <c r="M115" s="62"/>
    </row>
    <row r="116" spans="1:13" s="68" customFormat="1" ht="14.25" hidden="1" outlineLevel="2">
      <c r="A116" s="24" t="s">
        <v>191</v>
      </c>
      <c r="B116" s="20"/>
      <c r="C116" s="20">
        <v>6000000</v>
      </c>
      <c r="D116" s="17"/>
      <c r="E116" s="17"/>
      <c r="F116" s="49">
        <f t="shared" si="18"/>
        <v>6000000</v>
      </c>
      <c r="G116" s="17"/>
      <c r="H116" s="20">
        <f t="shared" si="19"/>
        <v>6000000</v>
      </c>
      <c r="I116" s="20">
        <v>2061250</v>
      </c>
      <c r="J116" s="20">
        <f t="shared" si="21"/>
        <v>-3938750</v>
      </c>
      <c r="K116" s="162">
        <f t="shared" si="15"/>
        <v>0.3435416666666667</v>
      </c>
      <c r="L116" s="67"/>
      <c r="M116" s="62"/>
    </row>
    <row r="117" spans="1:13" s="68" customFormat="1" ht="14.25" hidden="1" outlineLevel="2">
      <c r="A117" s="24" t="s">
        <v>192</v>
      </c>
      <c r="B117" s="20"/>
      <c r="C117" s="20">
        <v>12300000</v>
      </c>
      <c r="D117" s="17"/>
      <c r="E117" s="17"/>
      <c r="F117" s="49">
        <f t="shared" si="18"/>
        <v>12300000</v>
      </c>
      <c r="G117" s="17"/>
      <c r="H117" s="20">
        <f t="shared" si="19"/>
        <v>12300000</v>
      </c>
      <c r="I117" s="20">
        <v>9900000</v>
      </c>
      <c r="J117" s="20">
        <f t="shared" si="21"/>
        <v>-2400000</v>
      </c>
      <c r="K117" s="162">
        <f t="shared" si="15"/>
        <v>0.8048780487804879</v>
      </c>
      <c r="L117" s="67"/>
      <c r="M117" s="62"/>
    </row>
    <row r="118" spans="1:13" s="68" customFormat="1" ht="15" hidden="1" outlineLevel="1" collapsed="1">
      <c r="A118" s="89" t="s">
        <v>193</v>
      </c>
      <c r="B118" s="20"/>
      <c r="C118" s="49">
        <f>+SUM(C119:C122)</f>
        <v>29825645</v>
      </c>
      <c r="D118" s="17"/>
      <c r="E118" s="17"/>
      <c r="F118" s="25">
        <f t="shared" si="18"/>
        <v>29825645</v>
      </c>
      <c r="G118" s="17"/>
      <c r="H118" s="49">
        <f t="shared" si="19"/>
        <v>29825645</v>
      </c>
      <c r="I118" s="49">
        <f>+SUM(I119:I122)</f>
        <v>22079125</v>
      </c>
      <c r="J118" s="49">
        <f>SUM(J119:J122)</f>
        <v>-7746520</v>
      </c>
      <c r="K118" s="162">
        <f t="shared" si="15"/>
        <v>0.740273177663048</v>
      </c>
      <c r="L118" s="67"/>
      <c r="M118" s="62"/>
    </row>
    <row r="119" spans="1:13" s="68" customFormat="1" ht="14.25" hidden="1" outlineLevel="2">
      <c r="A119" s="24" t="s">
        <v>194</v>
      </c>
      <c r="B119" s="20"/>
      <c r="C119" s="20">
        <v>8000000</v>
      </c>
      <c r="D119" s="17"/>
      <c r="E119" s="17"/>
      <c r="F119" s="49">
        <f t="shared" si="18"/>
        <v>8000000</v>
      </c>
      <c r="G119" s="17"/>
      <c r="H119" s="20">
        <f t="shared" si="19"/>
        <v>8000000</v>
      </c>
      <c r="I119" s="20">
        <v>7517647</v>
      </c>
      <c r="J119" s="20">
        <f t="shared" si="21"/>
        <v>-482353</v>
      </c>
      <c r="K119" s="162">
        <f t="shared" si="15"/>
        <v>0.939705875</v>
      </c>
      <c r="L119" s="67"/>
      <c r="M119" s="62"/>
    </row>
    <row r="120" spans="1:13" s="68" customFormat="1" ht="14.25" hidden="1" outlineLevel="2">
      <c r="A120" s="24" t="s">
        <v>195</v>
      </c>
      <c r="B120" s="20"/>
      <c r="C120" s="20">
        <f>28725645-12300000</f>
        <v>16425645</v>
      </c>
      <c r="D120" s="17"/>
      <c r="E120" s="17"/>
      <c r="F120" s="49">
        <f t="shared" si="18"/>
        <v>16425645</v>
      </c>
      <c r="G120" s="17"/>
      <c r="H120" s="20">
        <f t="shared" si="19"/>
        <v>16425645</v>
      </c>
      <c r="I120" s="20">
        <v>11530250</v>
      </c>
      <c r="J120" s="20">
        <f t="shared" si="21"/>
        <v>-4895395</v>
      </c>
      <c r="K120" s="162">
        <f t="shared" si="15"/>
        <v>0.7019663459182273</v>
      </c>
      <c r="L120" s="67"/>
      <c r="M120" s="62"/>
    </row>
    <row r="121" spans="1:13" s="68" customFormat="1" ht="14.25" hidden="1" outlineLevel="2">
      <c r="A121" s="24" t="s">
        <v>196</v>
      </c>
      <c r="B121" s="20"/>
      <c r="C121" s="20">
        <v>3400000</v>
      </c>
      <c r="D121" s="17"/>
      <c r="E121" s="17"/>
      <c r="F121" s="49">
        <f t="shared" si="18"/>
        <v>3400000</v>
      </c>
      <c r="G121" s="17"/>
      <c r="H121" s="20">
        <f t="shared" si="19"/>
        <v>3400000</v>
      </c>
      <c r="I121" s="20">
        <v>3031228</v>
      </c>
      <c r="J121" s="20">
        <f t="shared" si="21"/>
        <v>-368772</v>
      </c>
      <c r="K121" s="162">
        <f t="shared" si="15"/>
        <v>0.8915376470588235</v>
      </c>
      <c r="L121" s="67"/>
      <c r="M121" s="62"/>
    </row>
    <row r="122" spans="1:13" s="68" customFormat="1" ht="14.25" hidden="1" outlineLevel="2">
      <c r="A122" s="24" t="s">
        <v>197</v>
      </c>
      <c r="B122" s="20"/>
      <c r="C122" s="20">
        <v>2000000</v>
      </c>
      <c r="D122" s="17"/>
      <c r="E122" s="17"/>
      <c r="F122" s="49">
        <f t="shared" si="18"/>
        <v>2000000</v>
      </c>
      <c r="G122" s="17"/>
      <c r="H122" s="20">
        <f t="shared" si="19"/>
        <v>2000000</v>
      </c>
      <c r="I122" s="20">
        <v>0</v>
      </c>
      <c r="J122" s="20">
        <f t="shared" si="21"/>
        <v>-2000000</v>
      </c>
      <c r="K122" s="162">
        <f t="shared" si="15"/>
        <v>0</v>
      </c>
      <c r="L122" s="67"/>
      <c r="M122" s="62"/>
    </row>
    <row r="123" spans="1:13" s="68" customFormat="1" ht="15" hidden="1" outlineLevel="1" collapsed="1">
      <c r="A123" s="89"/>
      <c r="B123" s="20"/>
      <c r="C123" s="20"/>
      <c r="D123" s="17"/>
      <c r="E123" s="17"/>
      <c r="F123" s="25">
        <f t="shared" si="18"/>
        <v>0</v>
      </c>
      <c r="G123" s="17"/>
      <c r="H123" s="20">
        <f t="shared" si="19"/>
        <v>0</v>
      </c>
      <c r="I123" s="20"/>
      <c r="J123" s="20"/>
      <c r="K123" s="162" t="e">
        <f t="shared" si="15"/>
        <v>#DIV/0!</v>
      </c>
      <c r="L123" s="67"/>
      <c r="M123" s="62"/>
    </row>
    <row r="124" spans="1:13" s="68" customFormat="1" ht="15" collapsed="1">
      <c r="A124" s="23" t="s">
        <v>0</v>
      </c>
      <c r="B124" s="18"/>
      <c r="C124" s="18">
        <f>+C125+C126+C127</f>
        <v>23400000</v>
      </c>
      <c r="D124" s="17"/>
      <c r="E124" s="17"/>
      <c r="F124" s="25">
        <f t="shared" si="18"/>
        <v>23400000</v>
      </c>
      <c r="G124" s="17"/>
      <c r="H124" s="18">
        <f t="shared" si="19"/>
        <v>23400000</v>
      </c>
      <c r="I124" s="18">
        <f>SUM(I125:I127)</f>
        <v>23376258</v>
      </c>
      <c r="J124" s="18">
        <f>SUM(J125:J127)</f>
        <v>-200</v>
      </c>
      <c r="K124" s="161">
        <f t="shared" si="15"/>
        <v>0.9989853846153847</v>
      </c>
      <c r="L124" s="67"/>
      <c r="M124" s="62"/>
    </row>
    <row r="125" spans="1:13" s="68" customFormat="1" ht="15" hidden="1" outlineLevel="1">
      <c r="A125" s="89" t="s">
        <v>198</v>
      </c>
      <c r="B125" s="18"/>
      <c r="C125" s="20">
        <v>0</v>
      </c>
      <c r="D125" s="17"/>
      <c r="E125" s="17"/>
      <c r="F125" s="49">
        <f t="shared" si="18"/>
        <v>0</v>
      </c>
      <c r="G125" s="17"/>
      <c r="H125" s="20">
        <f t="shared" si="19"/>
        <v>0</v>
      </c>
      <c r="I125" s="20">
        <v>0</v>
      </c>
      <c r="J125" s="20"/>
      <c r="K125" s="162" t="e">
        <f t="shared" si="15"/>
        <v>#DIV/0!</v>
      </c>
      <c r="L125" s="67"/>
      <c r="M125" s="62"/>
    </row>
    <row r="126" spans="1:13" s="68" customFormat="1" ht="15" hidden="1" outlineLevel="1">
      <c r="A126" s="89" t="s">
        <v>199</v>
      </c>
      <c r="B126" s="18"/>
      <c r="C126" s="20">
        <v>11400000</v>
      </c>
      <c r="D126" s="20"/>
      <c r="E126" s="17"/>
      <c r="F126" s="49">
        <f t="shared" si="18"/>
        <v>11400000</v>
      </c>
      <c r="G126" s="17"/>
      <c r="H126" s="20">
        <f t="shared" si="19"/>
        <v>11400000</v>
      </c>
      <c r="I126" s="20">
        <v>11376458</v>
      </c>
      <c r="J126" s="20"/>
      <c r="K126" s="162">
        <f t="shared" si="15"/>
        <v>0.9979349122807017</v>
      </c>
      <c r="L126" s="67"/>
      <c r="M126" s="62"/>
    </row>
    <row r="127" spans="1:13" s="68" customFormat="1" ht="15" hidden="1" outlineLevel="1">
      <c r="A127" s="89" t="s">
        <v>207</v>
      </c>
      <c r="B127" s="18"/>
      <c r="C127" s="20">
        <v>12000000</v>
      </c>
      <c r="D127" s="20"/>
      <c r="E127" s="17"/>
      <c r="F127" s="49">
        <f t="shared" si="18"/>
        <v>12000000</v>
      </c>
      <c r="G127" s="17"/>
      <c r="H127" s="20">
        <f t="shared" si="19"/>
        <v>12000000</v>
      </c>
      <c r="I127" s="20">
        <v>11999800</v>
      </c>
      <c r="J127" s="20">
        <f>+I127-H127</f>
        <v>-200</v>
      </c>
      <c r="K127" s="162">
        <f t="shared" si="15"/>
        <v>0.9999833333333333</v>
      </c>
      <c r="L127" s="67"/>
      <c r="M127" s="62"/>
    </row>
    <row r="128" spans="1:13" s="68" customFormat="1" ht="15" collapsed="1">
      <c r="A128" s="23" t="s">
        <v>91</v>
      </c>
      <c r="B128" s="21"/>
      <c r="C128" s="25">
        <f>+C129+C130</f>
        <v>83980000</v>
      </c>
      <c r="D128" s="26"/>
      <c r="E128" s="26"/>
      <c r="F128" s="25">
        <f t="shared" si="18"/>
        <v>83980000</v>
      </c>
      <c r="G128" s="26"/>
      <c r="H128" s="25">
        <f t="shared" si="19"/>
        <v>83980000</v>
      </c>
      <c r="I128" s="25">
        <f>SUM(I129:I130)</f>
        <v>83746574</v>
      </c>
      <c r="J128" s="25">
        <f>SUM(J129:J130)</f>
        <v>-233426</v>
      </c>
      <c r="K128" s="161">
        <f t="shared" si="15"/>
        <v>0.9972204572517266</v>
      </c>
      <c r="L128" s="67"/>
      <c r="M128" s="62"/>
    </row>
    <row r="129" spans="1:13" s="68" customFormat="1" ht="15" hidden="1" outlineLevel="1">
      <c r="A129" s="89" t="s">
        <v>200</v>
      </c>
      <c r="B129" s="18"/>
      <c r="C129" s="20">
        <f>43980000+556611</f>
        <v>44536611</v>
      </c>
      <c r="D129" s="20"/>
      <c r="E129" s="17"/>
      <c r="F129" s="49">
        <f t="shared" si="18"/>
        <v>44536611</v>
      </c>
      <c r="G129" s="17"/>
      <c r="H129" s="49">
        <f t="shared" si="19"/>
        <v>44536611</v>
      </c>
      <c r="I129" s="49">
        <v>44303186</v>
      </c>
      <c r="J129" s="49">
        <f>+I129-H129</f>
        <v>-233425</v>
      </c>
      <c r="K129" s="162">
        <f t="shared" si="15"/>
        <v>0.9947588064120999</v>
      </c>
      <c r="L129" s="67"/>
      <c r="M129" s="62"/>
    </row>
    <row r="130" spans="1:13" s="68" customFormat="1" ht="15" hidden="1" outlineLevel="1">
      <c r="A130" s="89" t="s">
        <v>201</v>
      </c>
      <c r="B130" s="18"/>
      <c r="C130" s="20">
        <f>40000000-556611</f>
        <v>39443389</v>
      </c>
      <c r="D130" s="20"/>
      <c r="E130" s="17"/>
      <c r="F130" s="49">
        <f t="shared" si="18"/>
        <v>39443389</v>
      </c>
      <c r="G130" s="17"/>
      <c r="H130" s="49">
        <f t="shared" si="19"/>
        <v>39443389</v>
      </c>
      <c r="I130" s="49">
        <v>39443388</v>
      </c>
      <c r="J130" s="49">
        <f>+I130-H130</f>
        <v>-1</v>
      </c>
      <c r="K130" s="162">
        <f t="shared" si="15"/>
        <v>0.9999999746472089</v>
      </c>
      <c r="L130" s="67"/>
      <c r="M130" s="62"/>
    </row>
    <row r="131" spans="1:13" s="68" customFormat="1" ht="15" collapsed="1">
      <c r="A131" s="24"/>
      <c r="B131" s="18"/>
      <c r="C131" s="20"/>
      <c r="D131" s="17"/>
      <c r="E131" s="20"/>
      <c r="F131" s="18"/>
      <c r="G131" s="17"/>
      <c r="H131" s="18"/>
      <c r="I131" s="18"/>
      <c r="J131" s="18"/>
      <c r="K131" s="162"/>
      <c r="L131" s="67"/>
      <c r="M131" s="62"/>
    </row>
    <row r="132" spans="1:13" ht="15">
      <c r="A132" s="15" t="s">
        <v>37</v>
      </c>
      <c r="B132" s="17"/>
      <c r="C132" s="18"/>
      <c r="D132" s="18">
        <f>+D133+D138+D146+D151+D153</f>
        <v>1431000000</v>
      </c>
      <c r="E132" s="138"/>
      <c r="F132" s="25">
        <f aca="true" t="shared" si="22" ref="F132:F152">+E132+D132+C132+B132</f>
        <v>1431000000</v>
      </c>
      <c r="G132" s="138"/>
      <c r="H132" s="25">
        <f>+G132+F132</f>
        <v>1431000000</v>
      </c>
      <c r="I132" s="25">
        <f>+I133+I138+I146+I151+I153</f>
        <v>1048755268.05</v>
      </c>
      <c r="J132" s="25">
        <f>+J133+J138+J146+J151+J153</f>
        <v>-382244731.95</v>
      </c>
      <c r="K132" s="161">
        <f t="shared" si="15"/>
        <v>0.7328827868972746</v>
      </c>
      <c r="L132" s="70"/>
      <c r="M132" s="62"/>
    </row>
    <row r="133" spans="1:13" s="68" customFormat="1" ht="15">
      <c r="A133" s="28" t="s">
        <v>48</v>
      </c>
      <c r="B133" s="138"/>
      <c r="C133" s="20"/>
      <c r="D133" s="25">
        <f>+D134+D135+D136+D137</f>
        <v>904200000</v>
      </c>
      <c r="E133" s="17"/>
      <c r="F133" s="25">
        <f>+F134+F135+F136+F137</f>
        <v>904200000</v>
      </c>
      <c r="G133" s="17"/>
      <c r="H133" s="25">
        <f>+H134+H135+H136+H137</f>
        <v>904200000</v>
      </c>
      <c r="I133" s="25">
        <f>SUM(I134:I137)</f>
        <v>584363667.8</v>
      </c>
      <c r="J133" s="25">
        <f>SUM(J134:J137)</f>
        <v>-319836332.2</v>
      </c>
      <c r="K133" s="161">
        <f t="shared" si="15"/>
        <v>0.64627700486618</v>
      </c>
      <c r="L133" s="67"/>
      <c r="M133" s="62"/>
    </row>
    <row r="134" spans="1:13" s="68" customFormat="1" ht="15" hidden="1" outlineLevel="1">
      <c r="A134" s="89" t="s">
        <v>174</v>
      </c>
      <c r="B134" s="138"/>
      <c r="C134" s="20"/>
      <c r="D134" s="21">
        <v>664700000</v>
      </c>
      <c r="E134" s="17"/>
      <c r="F134" s="21">
        <f t="shared" si="22"/>
        <v>664700000</v>
      </c>
      <c r="G134" s="17"/>
      <c r="H134" s="49">
        <f>+G134+F134</f>
        <v>664700000</v>
      </c>
      <c r="I134" s="49">
        <v>354507436.8</v>
      </c>
      <c r="J134" s="20">
        <f>+I134-H134</f>
        <v>-310192563.2</v>
      </c>
      <c r="K134" s="162">
        <f t="shared" si="15"/>
        <v>0.5333344919512563</v>
      </c>
      <c r="L134" s="67"/>
      <c r="M134" s="62"/>
    </row>
    <row r="135" spans="1:13" s="68" customFormat="1" ht="15" hidden="1" outlineLevel="1">
      <c r="A135" s="89" t="s">
        <v>175</v>
      </c>
      <c r="B135" s="138"/>
      <c r="C135" s="20"/>
      <c r="D135" s="21">
        <v>19500000</v>
      </c>
      <c r="E135" s="17"/>
      <c r="F135" s="21">
        <f t="shared" si="22"/>
        <v>19500000</v>
      </c>
      <c r="G135" s="17"/>
      <c r="H135" s="49">
        <f>+G135+F135</f>
        <v>19500000</v>
      </c>
      <c r="I135" s="49">
        <v>18511332</v>
      </c>
      <c r="J135" s="20">
        <f>+I135-H135</f>
        <v>-988668</v>
      </c>
      <c r="K135" s="162">
        <f t="shared" si="15"/>
        <v>0.9492990769230769</v>
      </c>
      <c r="L135" s="67"/>
      <c r="M135" s="62"/>
    </row>
    <row r="136" spans="1:13" s="68" customFormat="1" ht="15" hidden="1" outlineLevel="1">
      <c r="A136" s="89" t="s">
        <v>176</v>
      </c>
      <c r="B136" s="138"/>
      <c r="C136" s="20"/>
      <c r="D136" s="21">
        <v>170000000</v>
      </c>
      <c r="E136" s="17"/>
      <c r="F136" s="21">
        <f t="shared" si="22"/>
        <v>170000000</v>
      </c>
      <c r="G136" s="17"/>
      <c r="H136" s="49">
        <f>+G136+F136</f>
        <v>170000000</v>
      </c>
      <c r="I136" s="49">
        <v>161687867</v>
      </c>
      <c r="J136" s="20">
        <f>+I136-H136</f>
        <v>-8312133</v>
      </c>
      <c r="K136" s="162">
        <f t="shared" si="15"/>
        <v>0.9511051</v>
      </c>
      <c r="L136" s="67"/>
      <c r="M136" s="62"/>
    </row>
    <row r="137" spans="1:13" s="68" customFormat="1" ht="15" hidden="1" outlineLevel="1">
      <c r="A137" s="89" t="s">
        <v>177</v>
      </c>
      <c r="B137" s="138"/>
      <c r="C137" s="20"/>
      <c r="D137" s="21">
        <v>50000000</v>
      </c>
      <c r="E137" s="17"/>
      <c r="F137" s="21">
        <f t="shared" si="22"/>
        <v>50000000</v>
      </c>
      <c r="G137" s="17"/>
      <c r="H137" s="49">
        <f>+G137+F137</f>
        <v>50000000</v>
      </c>
      <c r="I137" s="49">
        <v>49657032</v>
      </c>
      <c r="J137" s="20">
        <f>+I137-H137</f>
        <v>-342968</v>
      </c>
      <c r="K137" s="162">
        <f aca="true" t="shared" si="23" ref="K137:K166">+I137/H137</f>
        <v>0.99314064</v>
      </c>
      <c r="L137" s="67"/>
      <c r="M137" s="62"/>
    </row>
    <row r="138" spans="1:13" s="68" customFormat="1" ht="15" collapsed="1">
      <c r="A138" s="28" t="s">
        <v>14</v>
      </c>
      <c r="B138" s="138"/>
      <c r="C138" s="20"/>
      <c r="D138" s="25">
        <f>+D139+D143</f>
        <v>38600000</v>
      </c>
      <c r="E138" s="17"/>
      <c r="F138" s="25">
        <f>+F139+F143</f>
        <v>38600000</v>
      </c>
      <c r="G138" s="17"/>
      <c r="H138" s="25">
        <f>+H139+H143</f>
        <v>38600000</v>
      </c>
      <c r="I138" s="25">
        <f>+I139+I143</f>
        <v>34601688</v>
      </c>
      <c r="J138" s="25">
        <f>+J139+J143</f>
        <v>-3998312</v>
      </c>
      <c r="K138" s="161">
        <f t="shared" si="23"/>
        <v>0.8964167875647668</v>
      </c>
      <c r="L138" s="67"/>
      <c r="M138" s="62"/>
    </row>
    <row r="139" spans="1:13" s="68" customFormat="1" ht="15" hidden="1" outlineLevel="1">
      <c r="A139" s="90" t="s">
        <v>178</v>
      </c>
      <c r="B139" s="138"/>
      <c r="C139" s="20"/>
      <c r="D139" s="25">
        <f>+D141+D142+D140</f>
        <v>20000000</v>
      </c>
      <c r="E139" s="17"/>
      <c r="F139" s="25">
        <f>+E139+D139</f>
        <v>20000000</v>
      </c>
      <c r="G139" s="17"/>
      <c r="H139" s="25">
        <f>+G139+F139</f>
        <v>20000000</v>
      </c>
      <c r="I139" s="25">
        <f>SUM(I140:I142)</f>
        <v>17557962</v>
      </c>
      <c r="J139" s="25">
        <f>SUM(J140:J142)</f>
        <v>-2442038</v>
      </c>
      <c r="K139" s="162">
        <f t="shared" si="23"/>
        <v>0.8778981</v>
      </c>
      <c r="L139" s="67"/>
      <c r="M139" s="62"/>
    </row>
    <row r="140" spans="1:13" s="68" customFormat="1" ht="15" hidden="1" outlineLevel="2">
      <c r="A140" s="24" t="s">
        <v>179</v>
      </c>
      <c r="B140" s="138"/>
      <c r="C140" s="20"/>
      <c r="D140" s="21">
        <v>0</v>
      </c>
      <c r="E140" s="17"/>
      <c r="F140" s="49">
        <f>+B140+C140+D140+E140</f>
        <v>0</v>
      </c>
      <c r="G140" s="153"/>
      <c r="H140" s="49">
        <f>+G140+F140</f>
        <v>0</v>
      </c>
      <c r="I140" s="49"/>
      <c r="J140" s="20">
        <f>+I140-H140</f>
        <v>0</v>
      </c>
      <c r="K140" s="162" t="e">
        <f t="shared" si="23"/>
        <v>#DIV/0!</v>
      </c>
      <c r="L140" s="67"/>
      <c r="M140" s="62"/>
    </row>
    <row r="141" spans="1:13" s="68" customFormat="1" ht="15" hidden="1" outlineLevel="2">
      <c r="A141" s="24" t="s">
        <v>180</v>
      </c>
      <c r="B141" s="138"/>
      <c r="C141" s="20"/>
      <c r="D141" s="21">
        <v>20000000</v>
      </c>
      <c r="E141" s="17"/>
      <c r="F141" s="21">
        <f>+E141+D141+C141+B141</f>
        <v>20000000</v>
      </c>
      <c r="G141" s="17"/>
      <c r="H141" s="49">
        <f>+G141+F141</f>
        <v>20000000</v>
      </c>
      <c r="I141" s="49">
        <v>17557962</v>
      </c>
      <c r="J141" s="20">
        <f>+I141-H141</f>
        <v>-2442038</v>
      </c>
      <c r="K141" s="162">
        <f t="shared" si="23"/>
        <v>0.8778981</v>
      </c>
      <c r="L141" s="67"/>
      <c r="M141" s="62"/>
    </row>
    <row r="142" spans="1:13" s="68" customFormat="1" ht="15" hidden="1" outlineLevel="2">
      <c r="A142" s="24" t="s">
        <v>181</v>
      </c>
      <c r="B142" s="138"/>
      <c r="C142" s="20"/>
      <c r="D142" s="21">
        <v>0</v>
      </c>
      <c r="E142" s="17"/>
      <c r="F142" s="21">
        <f t="shared" si="22"/>
        <v>0</v>
      </c>
      <c r="G142" s="17"/>
      <c r="H142" s="49">
        <f>+G142+F142</f>
        <v>0</v>
      </c>
      <c r="I142" s="49"/>
      <c r="J142" s="20">
        <f>+I142-H142</f>
        <v>0</v>
      </c>
      <c r="K142" s="162" t="e">
        <f t="shared" si="23"/>
        <v>#DIV/0!</v>
      </c>
      <c r="L142" s="67"/>
      <c r="M142" s="62"/>
    </row>
    <row r="143" spans="1:13" s="68" customFormat="1" ht="15" hidden="1" outlineLevel="1" collapsed="1">
      <c r="A143" s="90" t="s">
        <v>182</v>
      </c>
      <c r="B143" s="138"/>
      <c r="C143" s="20"/>
      <c r="D143" s="25">
        <f>+D144</f>
        <v>18600000</v>
      </c>
      <c r="E143" s="17"/>
      <c r="F143" s="25">
        <f>+F144</f>
        <v>18600000</v>
      </c>
      <c r="G143" s="17"/>
      <c r="H143" s="25">
        <f>+H144</f>
        <v>18600000</v>
      </c>
      <c r="I143" s="25">
        <f>+I144</f>
        <v>17043726</v>
      </c>
      <c r="J143" s="25">
        <f>+J144</f>
        <v>-1556274</v>
      </c>
      <c r="K143" s="162">
        <f t="shared" si="23"/>
        <v>0.9163293548387097</v>
      </c>
      <c r="L143" s="67"/>
      <c r="M143" s="62"/>
    </row>
    <row r="144" spans="1:13" s="68" customFormat="1" ht="15" hidden="1" outlineLevel="2">
      <c r="A144" s="24" t="s">
        <v>183</v>
      </c>
      <c r="B144" s="138"/>
      <c r="C144" s="20"/>
      <c r="D144" s="21">
        <v>18600000</v>
      </c>
      <c r="E144" s="17"/>
      <c r="F144" s="21">
        <f t="shared" si="22"/>
        <v>18600000</v>
      </c>
      <c r="G144" s="17"/>
      <c r="H144" s="49">
        <f>+G144+F144</f>
        <v>18600000</v>
      </c>
      <c r="I144" s="49">
        <v>17043726</v>
      </c>
      <c r="J144" s="20">
        <f>+I144-H144</f>
        <v>-1556274</v>
      </c>
      <c r="K144" s="162">
        <f t="shared" si="23"/>
        <v>0.9163293548387097</v>
      </c>
      <c r="L144" s="67"/>
      <c r="M144" s="62"/>
    </row>
    <row r="145" spans="1:13" s="68" customFormat="1" ht="15" hidden="1" outlineLevel="1" collapsed="1">
      <c r="A145" s="24"/>
      <c r="B145" s="138"/>
      <c r="C145" s="20"/>
      <c r="D145" s="21"/>
      <c r="E145" s="17"/>
      <c r="F145" s="21"/>
      <c r="G145" s="17"/>
      <c r="H145" s="49"/>
      <c r="I145" s="49"/>
      <c r="J145" s="49"/>
      <c r="K145" s="162" t="e">
        <f t="shared" si="23"/>
        <v>#DIV/0!</v>
      </c>
      <c r="L145" s="67"/>
      <c r="M145" s="62"/>
    </row>
    <row r="146" spans="1:13" s="68" customFormat="1" ht="15" collapsed="1">
      <c r="A146" s="28" t="s">
        <v>47</v>
      </c>
      <c r="B146" s="138"/>
      <c r="C146" s="20"/>
      <c r="D146" s="25">
        <f>+D147+D148+D149+D150</f>
        <v>90000000</v>
      </c>
      <c r="E146" s="20"/>
      <c r="F146" s="25">
        <f>+F147+F148+F149+F150</f>
        <v>90000000</v>
      </c>
      <c r="G146" s="17"/>
      <c r="H146" s="25">
        <f>+H147+H148+H149+H150</f>
        <v>90000000</v>
      </c>
      <c r="I146" s="25">
        <f>SUM(I147:I150)</f>
        <v>89996982.25</v>
      </c>
      <c r="J146" s="25">
        <f>SUM(J147:J150)</f>
        <v>-3017.75</v>
      </c>
      <c r="K146" s="161">
        <f t="shared" si="23"/>
        <v>0.9999664694444445</v>
      </c>
      <c r="L146" s="67"/>
      <c r="M146" s="62"/>
    </row>
    <row r="147" spans="1:13" s="68" customFormat="1" ht="15" customHeight="1" hidden="1" outlineLevel="1">
      <c r="A147" s="146" t="s">
        <v>53</v>
      </c>
      <c r="B147" s="138"/>
      <c r="C147" s="20"/>
      <c r="D147" s="21">
        <v>60000000</v>
      </c>
      <c r="E147" s="17"/>
      <c r="F147" s="21">
        <f t="shared" si="22"/>
        <v>60000000</v>
      </c>
      <c r="G147" s="27"/>
      <c r="H147" s="49">
        <f>+G147+F147</f>
        <v>60000000</v>
      </c>
      <c r="I147" s="49">
        <v>59996982.25</v>
      </c>
      <c r="J147" s="20">
        <f aca="true" t="shared" si="24" ref="J147:J160">+I147-H147</f>
        <v>-3017.75</v>
      </c>
      <c r="K147" s="162">
        <f t="shared" si="23"/>
        <v>0.9999497041666666</v>
      </c>
      <c r="L147" s="67"/>
      <c r="M147" s="62"/>
    </row>
    <row r="148" spans="1:13" s="68" customFormat="1" ht="15" customHeight="1" hidden="1" outlineLevel="1">
      <c r="A148" s="146" t="s">
        <v>85</v>
      </c>
      <c r="B148" s="138"/>
      <c r="C148" s="20"/>
      <c r="D148" s="21">
        <v>20000000</v>
      </c>
      <c r="E148" s="17"/>
      <c r="F148" s="21">
        <f t="shared" si="22"/>
        <v>20000000</v>
      </c>
      <c r="G148" s="27"/>
      <c r="H148" s="49">
        <f>+G148+F148</f>
        <v>20000000</v>
      </c>
      <c r="I148" s="49">
        <v>20000000</v>
      </c>
      <c r="J148" s="20">
        <f t="shared" si="24"/>
        <v>0</v>
      </c>
      <c r="K148" s="162">
        <f t="shared" si="23"/>
        <v>1</v>
      </c>
      <c r="L148" s="67"/>
      <c r="M148" s="62"/>
    </row>
    <row r="149" spans="1:13" s="68" customFormat="1" ht="15" customHeight="1" hidden="1" outlineLevel="1">
      <c r="A149" s="146" t="s">
        <v>86</v>
      </c>
      <c r="B149" s="138"/>
      <c r="C149" s="20"/>
      <c r="D149" s="154">
        <v>5000000</v>
      </c>
      <c r="E149" s="17"/>
      <c r="F149" s="21">
        <f t="shared" si="22"/>
        <v>5000000</v>
      </c>
      <c r="G149" s="27"/>
      <c r="H149" s="49">
        <f>+G149+F149</f>
        <v>5000000</v>
      </c>
      <c r="I149" s="49">
        <v>5000000</v>
      </c>
      <c r="J149" s="20">
        <f t="shared" si="24"/>
        <v>0</v>
      </c>
      <c r="K149" s="162">
        <f t="shared" si="23"/>
        <v>1</v>
      </c>
      <c r="L149" s="67"/>
      <c r="M149" s="62"/>
    </row>
    <row r="150" spans="1:13" s="68" customFormat="1" ht="15" customHeight="1" hidden="1" outlineLevel="1">
      <c r="A150" s="146" t="s">
        <v>146</v>
      </c>
      <c r="B150" s="138"/>
      <c r="C150" s="20"/>
      <c r="D150" s="21">
        <v>5000000</v>
      </c>
      <c r="E150" s="17"/>
      <c r="F150" s="21">
        <f t="shared" si="22"/>
        <v>5000000</v>
      </c>
      <c r="G150" s="27"/>
      <c r="H150" s="49">
        <f>+G150+F150</f>
        <v>5000000</v>
      </c>
      <c r="I150" s="49">
        <v>5000000</v>
      </c>
      <c r="J150" s="20">
        <f t="shared" si="24"/>
        <v>0</v>
      </c>
      <c r="K150" s="162">
        <f t="shared" si="23"/>
        <v>1</v>
      </c>
      <c r="L150" s="67"/>
      <c r="M150" s="62"/>
    </row>
    <row r="151" spans="1:13" ht="15" collapsed="1">
      <c r="A151" s="28" t="s">
        <v>8</v>
      </c>
      <c r="B151" s="17"/>
      <c r="C151" s="20"/>
      <c r="D151" s="25">
        <f>+D152</f>
        <v>67200000</v>
      </c>
      <c r="E151" s="17"/>
      <c r="F151" s="25">
        <f>+F152</f>
        <v>67200000</v>
      </c>
      <c r="G151" s="138"/>
      <c r="H151" s="25">
        <f>+H152</f>
        <v>67200000</v>
      </c>
      <c r="I151" s="25">
        <f>+I152</f>
        <v>50416939</v>
      </c>
      <c r="J151" s="25">
        <f>+J152</f>
        <v>-16783061</v>
      </c>
      <c r="K151" s="161">
        <f t="shared" si="23"/>
        <v>0.7502520684523809</v>
      </c>
      <c r="L151" s="5"/>
      <c r="M151" s="62"/>
    </row>
    <row r="152" spans="1:13" ht="15" hidden="1" outlineLevel="1">
      <c r="A152" s="24" t="s">
        <v>49</v>
      </c>
      <c r="B152" s="17"/>
      <c r="C152" s="20"/>
      <c r="D152" s="21">
        <v>67200000</v>
      </c>
      <c r="E152" s="17"/>
      <c r="F152" s="21">
        <f t="shared" si="22"/>
        <v>67200000</v>
      </c>
      <c r="G152" s="138"/>
      <c r="H152" s="49">
        <f>+G152+F152</f>
        <v>67200000</v>
      </c>
      <c r="I152" s="49">
        <v>50416939</v>
      </c>
      <c r="J152" s="20">
        <f t="shared" si="24"/>
        <v>-16783061</v>
      </c>
      <c r="K152" s="162">
        <f t="shared" si="23"/>
        <v>0.7502520684523809</v>
      </c>
      <c r="L152" s="5"/>
      <c r="M152" s="62"/>
    </row>
    <row r="153" spans="1:13" ht="15.75" customHeight="1" collapsed="1">
      <c r="A153" s="28" t="s">
        <v>90</v>
      </c>
      <c r="B153" s="17"/>
      <c r="C153" s="20"/>
      <c r="D153" s="25">
        <f>+D154+D156+D157+D158+D155</f>
        <v>331000000</v>
      </c>
      <c r="E153" s="17"/>
      <c r="F153" s="25">
        <f aca="true" t="shared" si="25" ref="F153:F158">+E153+D153+C153+B153</f>
        <v>331000000</v>
      </c>
      <c r="G153" s="26"/>
      <c r="H153" s="25">
        <f aca="true" t="shared" si="26" ref="H153:H158">+F153+G153</f>
        <v>331000000</v>
      </c>
      <c r="I153" s="25">
        <f>SUM(I154:I158)</f>
        <v>289375991</v>
      </c>
      <c r="J153" s="25">
        <f>SUM(J154:J158)</f>
        <v>-41624009</v>
      </c>
      <c r="K153" s="161">
        <f t="shared" si="23"/>
        <v>0.8742477069486405</v>
      </c>
      <c r="L153" s="5"/>
      <c r="M153" s="62"/>
    </row>
    <row r="154" spans="1:13" ht="15.75" customHeight="1" hidden="1" outlineLevel="1">
      <c r="A154" s="89" t="s">
        <v>184</v>
      </c>
      <c r="B154" s="17"/>
      <c r="C154" s="20"/>
      <c r="D154" s="154">
        <v>300000000</v>
      </c>
      <c r="E154" s="17"/>
      <c r="F154" s="49">
        <f t="shared" si="25"/>
        <v>300000000</v>
      </c>
      <c r="G154" s="138"/>
      <c r="H154" s="49">
        <f t="shared" si="26"/>
        <v>300000000</v>
      </c>
      <c r="I154" s="49">
        <v>258694001</v>
      </c>
      <c r="J154" s="20">
        <f t="shared" si="24"/>
        <v>-41305999</v>
      </c>
      <c r="K154" s="162">
        <f t="shared" si="23"/>
        <v>0.8623133366666667</v>
      </c>
      <c r="L154" s="5"/>
      <c r="M154" s="62"/>
    </row>
    <row r="155" spans="1:13" ht="15.75" customHeight="1" hidden="1" outlineLevel="1">
      <c r="A155" s="89" t="s">
        <v>185</v>
      </c>
      <c r="B155" s="17"/>
      <c r="C155" s="20"/>
      <c r="D155" s="154">
        <f>2000000+264000</f>
        <v>2264000</v>
      </c>
      <c r="E155" s="17"/>
      <c r="F155" s="49">
        <f t="shared" si="25"/>
        <v>2264000</v>
      </c>
      <c r="G155" s="138"/>
      <c r="H155" s="49">
        <f t="shared" si="26"/>
        <v>2264000</v>
      </c>
      <c r="I155" s="49">
        <v>2264000</v>
      </c>
      <c r="J155" s="20">
        <f t="shared" si="24"/>
        <v>0</v>
      </c>
      <c r="K155" s="162">
        <f t="shared" si="23"/>
        <v>1</v>
      </c>
      <c r="L155" s="5"/>
      <c r="M155" s="62"/>
    </row>
    <row r="156" spans="1:13" ht="14.25" hidden="1" outlineLevel="1">
      <c r="A156" s="89" t="s">
        <v>186</v>
      </c>
      <c r="B156" s="17"/>
      <c r="C156" s="20"/>
      <c r="D156" s="154">
        <f>19000000-450000</f>
        <v>18550000</v>
      </c>
      <c r="E156" s="17"/>
      <c r="F156" s="49">
        <f t="shared" si="25"/>
        <v>18550000</v>
      </c>
      <c r="G156" s="17"/>
      <c r="H156" s="49">
        <f t="shared" si="26"/>
        <v>18550000</v>
      </c>
      <c r="I156" s="49">
        <v>18548000</v>
      </c>
      <c r="J156" s="20">
        <f t="shared" si="24"/>
        <v>-2000</v>
      </c>
      <c r="K156" s="162">
        <f t="shared" si="23"/>
        <v>0.9998921832884097</v>
      </c>
      <c r="L156" s="5"/>
      <c r="M156" s="62"/>
    </row>
    <row r="157" spans="1:13" ht="14.25" hidden="1" outlineLevel="1">
      <c r="A157" s="89" t="s">
        <v>187</v>
      </c>
      <c r="B157" s="17"/>
      <c r="C157" s="20"/>
      <c r="D157" s="154">
        <f>7600000-264000</f>
        <v>7336000</v>
      </c>
      <c r="E157" s="17"/>
      <c r="F157" s="49">
        <f t="shared" si="25"/>
        <v>7336000</v>
      </c>
      <c r="G157" s="17"/>
      <c r="H157" s="49">
        <f t="shared" si="26"/>
        <v>7336000</v>
      </c>
      <c r="I157" s="49">
        <v>7019990</v>
      </c>
      <c r="J157" s="20">
        <f t="shared" si="24"/>
        <v>-316010</v>
      </c>
      <c r="K157" s="162">
        <f t="shared" si="23"/>
        <v>0.9569233914940022</v>
      </c>
      <c r="L157" s="5"/>
      <c r="M157" s="62"/>
    </row>
    <row r="158" spans="1:13" ht="14.25" hidden="1" outlineLevel="1">
      <c r="A158" s="89" t="s">
        <v>188</v>
      </c>
      <c r="B158" s="17"/>
      <c r="C158" s="20"/>
      <c r="D158" s="154">
        <f>2400000+450000</f>
        <v>2850000</v>
      </c>
      <c r="E158" s="17"/>
      <c r="F158" s="49">
        <f t="shared" si="25"/>
        <v>2850000</v>
      </c>
      <c r="G158" s="17"/>
      <c r="H158" s="49">
        <f t="shared" si="26"/>
        <v>2850000</v>
      </c>
      <c r="I158" s="49">
        <v>2850000</v>
      </c>
      <c r="J158" s="20">
        <f t="shared" si="24"/>
        <v>0</v>
      </c>
      <c r="K158" s="162">
        <f t="shared" si="23"/>
        <v>1</v>
      </c>
      <c r="L158" s="5"/>
      <c r="M158" s="62"/>
    </row>
    <row r="159" spans="1:13" ht="14.25" collapsed="1">
      <c r="A159" s="24"/>
      <c r="B159" s="17"/>
      <c r="C159" s="20"/>
      <c r="D159" s="21"/>
      <c r="E159" s="17"/>
      <c r="F159" s="20"/>
      <c r="G159" s="17"/>
      <c r="H159" s="20"/>
      <c r="I159" s="20"/>
      <c r="J159" s="20"/>
      <c r="K159" s="162"/>
      <c r="L159" s="5"/>
      <c r="M159" s="62"/>
    </row>
    <row r="160" spans="1:13" ht="15">
      <c r="A160" s="23" t="s">
        <v>55</v>
      </c>
      <c r="B160" s="17"/>
      <c r="C160" s="17"/>
      <c r="D160" s="17"/>
      <c r="E160" s="20"/>
      <c r="F160" s="20"/>
      <c r="G160" s="18">
        <v>229171781.8</v>
      </c>
      <c r="H160" s="18">
        <f>+G160+F160</f>
        <v>229171781.8</v>
      </c>
      <c r="I160" s="18">
        <v>236955666.5</v>
      </c>
      <c r="J160" s="25">
        <f t="shared" si="24"/>
        <v>7783884.699999988</v>
      </c>
      <c r="K160" s="161">
        <f t="shared" si="23"/>
        <v>1.0339652842023677</v>
      </c>
      <c r="L160" s="70"/>
      <c r="M160" s="62"/>
    </row>
    <row r="161" spans="1:13" ht="15">
      <c r="A161" s="28"/>
      <c r="B161" s="17"/>
      <c r="C161" s="17"/>
      <c r="D161" s="17"/>
      <c r="E161" s="20"/>
      <c r="F161" s="20"/>
      <c r="G161" s="20"/>
      <c r="H161" s="20"/>
      <c r="I161" s="20"/>
      <c r="J161" s="20"/>
      <c r="K161" s="162"/>
      <c r="L161" s="5"/>
      <c r="M161" s="62"/>
    </row>
    <row r="162" spans="1:13" ht="15" hidden="1" outlineLevel="1">
      <c r="A162" s="23" t="s">
        <v>70</v>
      </c>
      <c r="B162" s="17"/>
      <c r="C162" s="17"/>
      <c r="D162" s="17"/>
      <c r="E162" s="20"/>
      <c r="F162" s="18"/>
      <c r="G162" s="18"/>
      <c r="H162" s="18"/>
      <c r="I162" s="18"/>
      <c r="J162" s="18"/>
      <c r="K162" s="162" t="e">
        <f t="shared" si="23"/>
        <v>#DIV/0!</v>
      </c>
      <c r="L162" s="5"/>
      <c r="M162" s="62"/>
    </row>
    <row r="163" spans="1:13" s="33" customFormat="1" ht="14.25" hidden="1" outlineLevel="1">
      <c r="A163" s="22" t="s">
        <v>105</v>
      </c>
      <c r="B163" s="17"/>
      <c r="C163" s="17"/>
      <c r="D163" s="17"/>
      <c r="E163" s="20"/>
      <c r="F163" s="20"/>
      <c r="G163" s="20"/>
      <c r="H163" s="20"/>
      <c r="I163" s="20"/>
      <c r="J163" s="20"/>
      <c r="K163" s="162" t="e">
        <f t="shared" si="23"/>
        <v>#DIV/0!</v>
      </c>
      <c r="L163" s="5"/>
      <c r="M163" s="62"/>
    </row>
    <row r="164" spans="1:13" s="33" customFormat="1" ht="14.25" hidden="1" outlineLevel="1">
      <c r="A164" s="22" t="s">
        <v>106</v>
      </c>
      <c r="B164" s="17"/>
      <c r="C164" s="17"/>
      <c r="D164" s="17"/>
      <c r="E164" s="20"/>
      <c r="F164" s="20"/>
      <c r="G164" s="20"/>
      <c r="H164" s="20"/>
      <c r="I164" s="20"/>
      <c r="J164" s="20"/>
      <c r="K164" s="162" t="e">
        <f t="shared" si="23"/>
        <v>#DIV/0!</v>
      </c>
      <c r="L164" s="70"/>
      <c r="M164" s="62"/>
    </row>
    <row r="165" spans="1:13" ht="15" collapsed="1">
      <c r="A165" s="28"/>
      <c r="B165" s="17"/>
      <c r="C165" s="17"/>
      <c r="D165" s="17"/>
      <c r="E165" s="20"/>
      <c r="F165" s="20"/>
      <c r="G165" s="20"/>
      <c r="H165" s="20"/>
      <c r="I165" s="20"/>
      <c r="J165" s="20"/>
      <c r="K165" s="162"/>
      <c r="L165" s="5"/>
      <c r="M165" s="62"/>
    </row>
    <row r="166" spans="1:13" ht="15">
      <c r="A166" s="28" t="s">
        <v>107</v>
      </c>
      <c r="B166" s="18">
        <f>+B40+B38</f>
        <v>741955520.3320901</v>
      </c>
      <c r="C166" s="18">
        <f>+C38+C40</f>
        <v>234493709.53432193</v>
      </c>
      <c r="D166" s="18">
        <f>+D38+D40</f>
        <v>1733982490.531103</v>
      </c>
      <c r="E166" s="18">
        <f>+E40+E38</f>
        <v>1041996392.0814798</v>
      </c>
      <c r="F166" s="18">
        <f>+B166+C166+D166+E166</f>
        <v>3752428112.4789944</v>
      </c>
      <c r="G166" s="18">
        <f>+G162+G160+G40+G38</f>
        <v>413828597.6125994</v>
      </c>
      <c r="H166" s="18">
        <f>+G166+F166</f>
        <v>4166256710.0915937</v>
      </c>
      <c r="I166" s="18">
        <f>+I162+I160+I40+I38</f>
        <v>3318652461.11</v>
      </c>
      <c r="J166" s="18">
        <f>+J162+J160+J40+J38</f>
        <v>-847580706.9815942</v>
      </c>
      <c r="K166" s="161">
        <f t="shared" si="23"/>
        <v>0.796554963373114</v>
      </c>
      <c r="L166" s="5"/>
      <c r="M166" s="62"/>
    </row>
    <row r="167" spans="1:13" ht="15.75" thickBot="1">
      <c r="A167" s="71"/>
      <c r="B167" s="16"/>
      <c r="C167" s="72"/>
      <c r="D167" s="72"/>
      <c r="E167" s="72"/>
      <c r="F167" s="72"/>
      <c r="G167" s="72"/>
      <c r="H167" s="72"/>
      <c r="I167" s="72"/>
      <c r="J167" s="72"/>
      <c r="K167" s="73"/>
      <c r="L167" s="5"/>
      <c r="M167" s="62"/>
    </row>
    <row r="168" spans="1:12" ht="18.75" thickTop="1">
      <c r="A168" s="74"/>
      <c r="B168" s="10"/>
      <c r="C168" s="5"/>
      <c r="D168" s="5"/>
      <c r="E168" s="5"/>
      <c r="F168" s="5"/>
      <c r="G168" s="70"/>
      <c r="H168" s="70"/>
      <c r="I168" s="70"/>
      <c r="J168" s="70"/>
      <c r="K168" s="65"/>
      <c r="L168" s="5"/>
    </row>
    <row r="169" spans="1:12" ht="12.75" hidden="1" outlineLevel="1">
      <c r="A169" s="74"/>
      <c r="B169" s="5"/>
      <c r="C169" s="5"/>
      <c r="D169" s="70"/>
      <c r="E169" s="5"/>
      <c r="F169" s="70"/>
      <c r="G169" s="70"/>
      <c r="H169" s="75"/>
      <c r="I169" s="75"/>
      <c r="J169" s="75"/>
      <c r="K169" s="76"/>
      <c r="L169" s="5"/>
    </row>
    <row r="170" spans="1:12" ht="15.75" hidden="1" outlineLevel="1">
      <c r="A170" s="74"/>
      <c r="B170" s="70"/>
      <c r="C170" s="5"/>
      <c r="D170" s="5"/>
      <c r="E170" s="77"/>
      <c r="F170" s="78" t="s">
        <v>67</v>
      </c>
      <c r="G170" s="78" t="s">
        <v>76</v>
      </c>
      <c r="H170" s="79" t="s">
        <v>52</v>
      </c>
      <c r="I170" s="79" t="s">
        <v>52</v>
      </c>
      <c r="J170" s="79" t="s">
        <v>52</v>
      </c>
      <c r="K170" s="5"/>
      <c r="L170" s="5"/>
    </row>
    <row r="171" spans="1:12" ht="15.75" hidden="1" outlineLevel="1">
      <c r="A171" s="80"/>
      <c r="B171" s="5"/>
      <c r="C171" s="5"/>
      <c r="D171" s="5"/>
      <c r="E171" s="77" t="s">
        <v>40</v>
      </c>
      <c r="F171" s="81">
        <f>+B166+C166+E166+G38+(G160*75%)</f>
        <v>2374981274.110491</v>
      </c>
      <c r="G171" s="47" t="e">
        <f>+INGRESOS!#REF!</f>
        <v>#REF!</v>
      </c>
      <c r="H171" s="81" t="e">
        <f aca="true" t="shared" si="27" ref="H171:J172">+G171-F171</f>
        <v>#REF!</v>
      </c>
      <c r="I171" s="81" t="e">
        <f t="shared" si="27"/>
        <v>#REF!</v>
      </c>
      <c r="J171" s="81" t="e">
        <f t="shared" si="27"/>
        <v>#REF!</v>
      </c>
      <c r="K171" s="5"/>
      <c r="L171" s="5"/>
    </row>
    <row r="172" spans="1:12" ht="16.5" hidden="1" outlineLevel="1" thickBot="1">
      <c r="A172" s="74"/>
      <c r="B172" s="5"/>
      <c r="C172" s="5"/>
      <c r="D172" s="5"/>
      <c r="E172" s="77" t="s">
        <v>72</v>
      </c>
      <c r="F172" s="82">
        <f>+D166+(G160*25%)</f>
        <v>1791275435.981103</v>
      </c>
      <c r="G172" s="48" t="e">
        <f>+INGRESOS!#REF!</f>
        <v>#REF!</v>
      </c>
      <c r="H172" s="81" t="e">
        <f t="shared" si="27"/>
        <v>#REF!</v>
      </c>
      <c r="I172" s="81" t="e">
        <f t="shared" si="27"/>
        <v>#REF!</v>
      </c>
      <c r="J172" s="81" t="e">
        <f t="shared" si="27"/>
        <v>#REF!</v>
      </c>
      <c r="K172" s="5"/>
      <c r="L172" s="5"/>
    </row>
    <row r="173" spans="1:12" ht="15.75" hidden="1" outlineLevel="1">
      <c r="A173" s="74"/>
      <c r="B173" s="5"/>
      <c r="C173" s="5"/>
      <c r="D173" s="5"/>
      <c r="E173" s="77"/>
      <c r="F173" s="83">
        <f>+F171+F172</f>
        <v>4166256710.0915937</v>
      </c>
      <c r="G173" s="84" t="e">
        <f>+G172+G171</f>
        <v>#REF!</v>
      </c>
      <c r="H173" s="81"/>
      <c r="I173" s="81"/>
      <c r="J173" s="81"/>
      <c r="K173" s="5"/>
      <c r="L173" s="5"/>
    </row>
    <row r="174" spans="1:12" ht="15.75" collapsed="1">
      <c r="A174" s="74"/>
      <c r="B174" s="5"/>
      <c r="C174" s="5"/>
      <c r="D174" s="5"/>
      <c r="E174" s="77"/>
      <c r="F174" s="81"/>
      <c r="G174" s="77"/>
      <c r="H174" s="77"/>
      <c r="I174" s="77"/>
      <c r="J174" s="77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70"/>
      <c r="G176" s="70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" customHeight="1">
      <c r="A179" s="5"/>
      <c r="B179" s="5"/>
      <c r="C179" s="5"/>
      <c r="D179" s="5"/>
      <c r="E179" s="5"/>
      <c r="F179" s="5"/>
      <c r="G179" s="8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</sheetData>
  <sheetProtection/>
  <mergeCells count="5">
    <mergeCell ref="A1:K1"/>
    <mergeCell ref="A2:K2"/>
    <mergeCell ref="A3:K3"/>
    <mergeCell ref="A5:K5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61" r:id="rId1"/>
  <rowBreaks count="1" manualBreakCount="1">
    <brk id="1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 Nal. de la Porcicultura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davidgomez</dc:creator>
  <cp:keywords/>
  <dc:description/>
  <cp:lastModifiedBy>Sandra Gonzalez</cp:lastModifiedBy>
  <cp:lastPrinted>2011-07-29T16:03:58Z</cp:lastPrinted>
  <dcterms:created xsi:type="dcterms:W3CDTF">2004-09-15T00:05:45Z</dcterms:created>
  <dcterms:modified xsi:type="dcterms:W3CDTF">2019-11-18T19:56:37Z</dcterms:modified>
  <cp:category/>
  <cp:version/>
  <cp:contentType/>
  <cp:contentStatus/>
</cp:coreProperties>
</file>