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firstSheet="1" activeTab="1"/>
  </bookViews>
  <sheets>
    <sheet name="Anexo 1 " sheetId="1" state="hidden" r:id="rId1"/>
    <sheet name="GAST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'Anexo 1 '!$A$1:$I$39</definedName>
    <definedName name="_xlnm.Print_Area" localSheetId="1">'GASTOS'!$A$1:$M$179</definedName>
    <definedName name="ASISCALLCENTER" localSheetId="0">#REF!</definedName>
    <definedName name="ASISCALLCENTER">#REF!</definedName>
    <definedName name="ASISCONTABPPC" localSheetId="0">#REF!</definedName>
    <definedName name="ASISCONTABPPC">#REF!</definedName>
    <definedName name="ASISDESPACHOS" localSheetId="0">#REF!</definedName>
    <definedName name="ASISDESPACHOS">#REF!</definedName>
    <definedName name="ASISICA" localSheetId="0">#REF!</definedName>
    <definedName name="ASISICA">#REF!</definedName>
    <definedName name="AUXBODEGA" localSheetId="0">#REF!</definedName>
    <definedName name="AUXBODEGA">#REF!</definedName>
    <definedName name="CABEZAS_PROYEC">'Anexo 1 '!$C$46</definedName>
    <definedName name="CUOTAPPC2005" localSheetId="0">'Anexo 1 '!$D$15</definedName>
    <definedName name="CUOTAPPC2005">'[1]Anexo 1 Minagricultura'!$D$15</definedName>
    <definedName name="DIAG_PPC" localSheetId="0">'[4]Inversión total en programas'!$B$86</definedName>
    <definedName name="DIAG_PPC">'[1]Inversión total en programas'!$B$86</definedName>
    <definedName name="eeeee" localSheetId="0">#REF!</definedName>
    <definedName name="eeeee">#REF!</definedName>
    <definedName name="EPPC">'Anexo 1 '!$C$54</definedName>
    <definedName name="FOMENTO">'Anexo 1 '!$C$53</definedName>
    <definedName name="FOMENTOS">'[2]Anexo 1 Minagricultura'!$C$51</definedName>
    <definedName name="fondo" localSheetId="0">#REF!</definedName>
    <definedName name="fondo">#REF!</definedName>
    <definedName name="GTOSEPPC" localSheetId="0">'[4]Inversión total en programas'!$C$35</definedName>
    <definedName name="GTOSEPPC">'[1]Inversión total en programas'!$C$35</definedName>
    <definedName name="HONORAUDI_JURIDIC" localSheetId="0">#REF!</definedName>
    <definedName name="HONORAUDI_JURIDIC">#REF!</definedName>
    <definedName name="HONTOTAL" localSheetId="0">#REF!</definedName>
    <definedName name="HONTOTAL">#REF!</definedName>
    <definedName name="ojo" localSheetId="0">#REF!</definedName>
    <definedName name="ojo">#REF!</definedName>
    <definedName name="RESERV_FUTU" localSheetId="0">#REF!</definedName>
    <definedName name="RESERV_FUTU">#REF!</definedName>
    <definedName name="saldo" localSheetId="0">#REF!</definedName>
    <definedName name="saldo">#REF!</definedName>
    <definedName name="saldos" localSheetId="0">#REF!</definedName>
    <definedName name="saldos">#REF!</definedName>
    <definedName name="SUPERA2004">'Anexo 1 '!$B$21</definedName>
    <definedName name="SUPERA2005">'Anexo 1 '!$C$21</definedName>
    <definedName name="SUPERAVIT" localSheetId="0">#REF!</definedName>
    <definedName name="SUPERAVIT">#REF!</definedName>
    <definedName name="SUPERAVIT2005_FNP" localSheetId="0">#REF!</definedName>
    <definedName name="SUPERAVIT2005_FNP">#REF!</definedName>
    <definedName name="SUPERAVITPPC_2005" localSheetId="0">#REF!</definedName>
    <definedName name="SUPERAVITPPC_2005">#REF!</definedName>
    <definedName name="_xlnm.Print_Titles">'GASTOS'!$1:$6</definedName>
    <definedName name="VTAS2005" localSheetId="0">'Anexo 1 '!$D$32</definedName>
    <definedName name="VTAS2005">'[1]Anexo 1 Minagricultura'!$D$32</definedName>
    <definedName name="xx">'[3]Ingresos'!$C$19</definedName>
    <definedName name="Z_4099E833_BB74_4680_85C9_A6CF399D1CE2_.wvu.Cols" localSheetId="0" hidden="1">'[4]Nómina 2004'!$C:$E,'[4]Nómina 2004'!$H:$I,'[4]Nómina 2004'!$L:$P,'[4]Nómina 2004'!$AF:$AH</definedName>
    <definedName name="Z_4099E833_BB74_4680_85C9_A6CF399D1CE2_.wvu.Cols" hidden="1">'[1]Nómina 2004'!$C:$E,'[1]Nómina 2004'!$H:$I,'[1]Nómina 2004'!$L:$P,'[1]Nómina 2004'!$AF:$AH</definedName>
    <definedName name="Z_4099E833_BB74_4680_85C9_A6CF399D1CE2_.wvu.PrintArea" hidden="1">'Anexo 1 '!$A$1:$D$39</definedName>
    <definedName name="Z_4099E833_BB74_4680_85C9_A6CF399D1CE2_.wvu.Rows" localSheetId="0" hidden="1">'[4]Inversión total en programas'!$50:$50,'[4]Inversión total en programas'!$60:$63</definedName>
    <definedName name="Z_4099E833_BB74_4680_85C9_A6CF399D1CE2_.wvu.Rows" hidden="1">'[1]Inversión total en programas'!$50:$50,'[1]Inversión total en programas'!$60:$63</definedName>
  </definedNames>
  <calcPr fullCalcOnLoad="1"/>
</workbook>
</file>

<file path=xl/comments1.xml><?xml version="1.0" encoding="utf-8"?>
<comments xmlns="http://schemas.openxmlformats.org/spreadsheetml/2006/main">
  <authors>
    <author>PatriciaMart?nez</author>
    <author>XimenaMahecha</author>
    <author>Asociacion Colombiana de</author>
  </authors>
  <commentList>
    <comment ref="D18" authorId="0">
      <text>
        <r>
          <rPr>
            <b/>
            <sz val="8"/>
            <rFont val="Tahoma"/>
            <family val="2"/>
          </rPr>
          <t>promedio de años 2005-2006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sz val="8"/>
            <rFont val="Tahoma"/>
            <family val="2"/>
          </rPr>
          <t xml:space="preserve">Mantener CDT 300 millones, 11%, 12 meses
</t>
        </r>
      </text>
    </comment>
    <comment ref="D34" authorId="1">
      <text>
        <r>
          <rPr>
            <sz val="9"/>
            <rFont val="Tahoma"/>
            <family val="2"/>
          </rPr>
          <t>Promedio de $30.000.000 en cta ahorros</t>
        </r>
      </text>
    </comment>
    <comment ref="G29" authorId="2">
      <text>
        <r>
          <rPr>
            <b/>
            <sz val="8"/>
            <rFont val="Tahoma"/>
            <family val="0"/>
          </rPr>
          <t>cta 48052201</t>
        </r>
      </text>
    </comment>
  </commentList>
</comments>
</file>

<file path=xl/sharedStrings.xml><?xml version="1.0" encoding="utf-8"?>
<sst xmlns="http://schemas.openxmlformats.org/spreadsheetml/2006/main" count="267" uniqueCount="238">
  <si>
    <t>MINISTERIO DE AGRICULTURA  Y DESARROLLO RURAL</t>
  </si>
  <si>
    <t>DIRECCIÓN DE PLANEACIÓN Y SEGUIMIENTO PRESUPUESTAL</t>
  </si>
  <si>
    <t>PRESUPUESTO DE GASTOS DE FUNCIONAMIENTO E INVERSIÓN 2.009</t>
  </si>
  <si>
    <t>ANEXO 2</t>
  </si>
  <si>
    <t>CUENTAS</t>
  </si>
  <si>
    <t>PROGRAMAS ECONÓMICA</t>
  </si>
  <si>
    <t>PROGRAMAS TÉCNICA</t>
  </si>
  <si>
    <t>PROGRAMA PPC</t>
  </si>
  <si>
    <t>PROGRAMAS MERCADEO</t>
  </si>
  <si>
    <t>TOTAL INVERSIÓN</t>
  </si>
  <si>
    <t>GASTOS DE FUNCIONAMIENTO</t>
  </si>
  <si>
    <t>TOTAL PRESUPUESTO</t>
  </si>
  <si>
    <t>ACUERDO 19/09</t>
  </si>
  <si>
    <t>GASTOS DE PERSONAL</t>
  </si>
  <si>
    <t>Servicios de personal</t>
  </si>
  <si>
    <t>Sueldos</t>
  </si>
  <si>
    <t>Cesantías</t>
  </si>
  <si>
    <t>Intereses de cesantías</t>
  </si>
  <si>
    <t>Prima legal</t>
  </si>
  <si>
    <t>Vacaciones</t>
  </si>
  <si>
    <t xml:space="preserve">Capacitación </t>
  </si>
  <si>
    <t>Seguros y/o fondos privados</t>
  </si>
  <si>
    <t>Caja de compensación</t>
  </si>
  <si>
    <t>Aportes ICBF y SENA</t>
  </si>
  <si>
    <t xml:space="preserve">Dotación y suministro </t>
  </si>
  <si>
    <t>Honorarios</t>
  </si>
  <si>
    <t>SUBTOTAL GASTOS PERSONAL</t>
  </si>
  <si>
    <t>GASTOS GENERALES</t>
  </si>
  <si>
    <t>Muebles, equipos de oficina y software</t>
  </si>
  <si>
    <t>Aseo, vigilancia y cafetería</t>
  </si>
  <si>
    <t>Materiales y suministros</t>
  </si>
  <si>
    <t xml:space="preserve">Mantenimiento </t>
  </si>
  <si>
    <t>Servicios públicos</t>
  </si>
  <si>
    <t>Arriendos</t>
  </si>
  <si>
    <t>Gastos de viaje</t>
  </si>
  <si>
    <t>Impresos y publicaciones</t>
  </si>
  <si>
    <t>Correo</t>
  </si>
  <si>
    <t>Transportes, fletes y acarreos</t>
  </si>
  <si>
    <t>Seguros, impuestos y gastos legales</t>
  </si>
  <si>
    <t>Gastos comisión de fomento</t>
  </si>
  <si>
    <t>Comisiones y gastos bancarios</t>
  </si>
  <si>
    <t>Cuota auditaje CGR</t>
  </si>
  <si>
    <t>SUBTOTAL GASTOS GENERALES</t>
  </si>
  <si>
    <t>TOTAL FUNCIONAMIENTO</t>
  </si>
  <si>
    <t>TOTAL PROGRAMAS Y PROYECTOS</t>
  </si>
  <si>
    <t>FORMALIDAD E INTEGRACIÓN</t>
  </si>
  <si>
    <t>Centro de servicios técnicos y financieros</t>
  </si>
  <si>
    <t xml:space="preserve">   Programa IAT BPP</t>
  </si>
  <si>
    <t xml:space="preserve">       Contrapartida MADR</t>
  </si>
  <si>
    <t xml:space="preserve">       Contrapartida FNP - productores</t>
  </si>
  <si>
    <t>Herramientas del Centro de servicios</t>
  </si>
  <si>
    <t>Asesorías a pequeños productores</t>
  </si>
  <si>
    <t>Asesorías a medianos y grandes productores y grupos</t>
  </si>
  <si>
    <t>Continuación Asesorías Consolidación Empresarial</t>
  </si>
  <si>
    <t>Certificación ISO 9001</t>
  </si>
  <si>
    <t>Fortalecimiento institucional</t>
  </si>
  <si>
    <t>COMSAC</t>
  </si>
  <si>
    <t>Participación en negociaciones</t>
  </si>
  <si>
    <t xml:space="preserve">Cadena porcícola -Trazabilidad </t>
  </si>
  <si>
    <t>Sistemas de información de mercados</t>
  </si>
  <si>
    <t xml:space="preserve">Monitoreo información de precios </t>
  </si>
  <si>
    <t>Actualización de información</t>
  </si>
  <si>
    <t>Continuación Investigación sistemas de trazabilidad Convenio MADR</t>
  </si>
  <si>
    <t>Fortalecimiento al recaudo</t>
  </si>
  <si>
    <t>Auxilios de movilización de los coordinadores de recaudo</t>
  </si>
  <si>
    <t>Mesas de trabajo</t>
  </si>
  <si>
    <t>Identificación de canales (venta de precintos)</t>
  </si>
  <si>
    <t>Supervisión y control</t>
  </si>
  <si>
    <t>COMERCIALIZACIÓN</t>
  </si>
  <si>
    <t>Eventos investigativos</t>
  </si>
  <si>
    <t xml:space="preserve">  Home panel</t>
  </si>
  <si>
    <t xml:space="preserve">  Brand tracking - Brand equity</t>
  </si>
  <si>
    <t xml:space="preserve">  LSD </t>
  </si>
  <si>
    <t xml:space="preserve">  Pre-test y post-test de campañas</t>
  </si>
  <si>
    <t xml:space="preserve">  Focus group para validación de conceptos, productos y empaques</t>
  </si>
  <si>
    <t>Desarrollo del sello de respaldo</t>
  </si>
  <si>
    <t xml:space="preserve">  Creación grupo élite</t>
  </si>
  <si>
    <t xml:space="preserve">  Actividades de seguimiento y control</t>
  </si>
  <si>
    <t xml:space="preserve">  Entrenamiento</t>
  </si>
  <si>
    <t xml:space="preserve">  Visitas de auditoría</t>
  </si>
  <si>
    <t xml:space="preserve">  Socialización sello de respaldo</t>
  </si>
  <si>
    <t xml:space="preserve">  Registro sello de respaldo</t>
  </si>
  <si>
    <t xml:space="preserve">  Asesoria SGS</t>
  </si>
  <si>
    <t>Sensibilización a profesionales de la salud y otros relacionados con el tema de nutrición y alimentación</t>
  </si>
  <si>
    <t xml:space="preserve">  Actividades de capacitación y material de apoyo</t>
  </si>
  <si>
    <t xml:space="preserve">  Talleres de promoción al consumo</t>
  </si>
  <si>
    <t xml:space="preserve">  Organizar y patrocinar congresos o actividades de esta especialidad médica.</t>
  </si>
  <si>
    <t xml:space="preserve">  Planes de acompañamiento a profesionales relacionados </t>
  </si>
  <si>
    <t xml:space="preserve">  Aval ACODIN todos los medios</t>
  </si>
  <si>
    <t xml:space="preserve">  ASA</t>
  </si>
  <si>
    <t>Campaña de fomento al consumo</t>
  </si>
  <si>
    <t xml:space="preserve">   Campaña reactivación del consumo</t>
  </si>
  <si>
    <t xml:space="preserve">   Diseño y producción de comerciales para testimoniales</t>
  </si>
  <si>
    <t xml:space="preserve">   Pauta testimoniales</t>
  </si>
  <si>
    <t xml:space="preserve">   Material POP</t>
  </si>
  <si>
    <t xml:space="preserve">   Pagina web consumidor</t>
  </si>
  <si>
    <t xml:space="preserve">   Internet-CRM</t>
  </si>
  <si>
    <t xml:space="preserve">   Seguimiento y control</t>
  </si>
  <si>
    <t xml:space="preserve">   Consultoría Mercadeo Estratégico S.A.</t>
  </si>
  <si>
    <t>Calidad e inocuidad de la cadena cárnica</t>
  </si>
  <si>
    <t xml:space="preserve">   Asesorías HACCP y BPM</t>
  </si>
  <si>
    <t xml:space="preserve">   Asesorías ASA-IM</t>
  </si>
  <si>
    <t xml:space="preserve">  Capacitación agentes de la cadena</t>
  </si>
  <si>
    <t xml:space="preserve">      Capacitación para Inspectores del INVIMA</t>
  </si>
  <si>
    <t xml:space="preserve">      Capacitación para expendedores</t>
  </si>
  <si>
    <t xml:space="preserve">      Capacitación para plantas sobre diseño sanitario</t>
  </si>
  <si>
    <t xml:space="preserve">   Otras asesorías en calidad e inocuidad</t>
  </si>
  <si>
    <t xml:space="preserve">   Visitas de auditoría</t>
  </si>
  <si>
    <t>Divulgación sectorial</t>
  </si>
  <si>
    <t xml:space="preserve">   Pauta institucional</t>
  </si>
  <si>
    <t xml:space="preserve">   Agroexpo/Porcinino</t>
  </si>
  <si>
    <t xml:space="preserve">   Material de formación a expendios</t>
  </si>
  <si>
    <t xml:space="preserve">   Actividades de promoción en restaurantes</t>
  </si>
  <si>
    <t>PRODUCTIVIDAD DE EMPRESA</t>
  </si>
  <si>
    <t>Investigación</t>
  </si>
  <si>
    <t xml:space="preserve">   Proyectos aprobados 2007</t>
  </si>
  <si>
    <t xml:space="preserve">   Proyectos aprobados 2008</t>
  </si>
  <si>
    <t xml:space="preserve">   Red nacional de investigación</t>
  </si>
  <si>
    <t>Eficiencia sanitaria</t>
  </si>
  <si>
    <t>Servicios de diagnóstico</t>
  </si>
  <si>
    <t>Carta de entendimiento ICA</t>
  </si>
  <si>
    <t>Laboratorios Privados PMSS</t>
  </si>
  <si>
    <t>Análisis de la información</t>
  </si>
  <si>
    <t>Carta de entendimiento No. 3</t>
  </si>
  <si>
    <t>Programa nacional de mejoramiento del estatus sanitario</t>
  </si>
  <si>
    <t>Visitas de Auditoria</t>
  </si>
  <si>
    <t>Asesorias externas</t>
  </si>
  <si>
    <t>Seguimiento PMSS</t>
  </si>
  <si>
    <t>Material apoyo</t>
  </si>
  <si>
    <t>Convenio Uniandes</t>
  </si>
  <si>
    <t>Fortalecimiento de la capacidad diagnóstica</t>
  </si>
  <si>
    <t>Gestión de transferencia de tecnología</t>
  </si>
  <si>
    <t xml:space="preserve">Material formación y registros en base de datos </t>
  </si>
  <si>
    <t xml:space="preserve">Convenio SENA </t>
  </si>
  <si>
    <t xml:space="preserve">   Contrapartida SENA</t>
  </si>
  <si>
    <t xml:space="preserve">   Contrapartida FNP</t>
  </si>
  <si>
    <t>Piloto Resolución 2640 ICA</t>
  </si>
  <si>
    <t>Talleres de formación técnica</t>
  </si>
  <si>
    <t>Gestión Ambiental</t>
  </si>
  <si>
    <t>Investigación Corpocaldas</t>
  </si>
  <si>
    <t>Seguimiento a planes de accion CAR's</t>
  </si>
  <si>
    <t>ANDI</t>
  </si>
  <si>
    <t xml:space="preserve">Convenios CAR´s </t>
  </si>
  <si>
    <t>Asesoría pequeños</t>
  </si>
  <si>
    <t>ERRADICACIÓN PPC</t>
  </si>
  <si>
    <t>Regionalización</t>
  </si>
  <si>
    <t xml:space="preserve">     Compra de biológico, chapetas y tenazas</t>
  </si>
  <si>
    <t xml:space="preserve">     Compra de materiales y dotaciones</t>
  </si>
  <si>
    <t xml:space="preserve">     Pago de auxilios de frío, flete y movilizaciones</t>
  </si>
  <si>
    <t xml:space="preserve">     Brigadas</t>
  </si>
  <si>
    <t>Capacitación y divulgación</t>
  </si>
  <si>
    <t xml:space="preserve">   Capacitación</t>
  </si>
  <si>
    <t xml:space="preserve">     Talleres de formación PPC</t>
  </si>
  <si>
    <t xml:space="preserve">     Asesoría internacional</t>
  </si>
  <si>
    <t xml:space="preserve">   Divulgación</t>
  </si>
  <si>
    <t xml:space="preserve">     Publicidad</t>
  </si>
  <si>
    <t>Vigilancia epidemiológica - Carta de entendimiento 1</t>
  </si>
  <si>
    <t>Diagnóstico rutinario</t>
  </si>
  <si>
    <t>Aislamiento y caracterización del virus de la PPC</t>
  </si>
  <si>
    <t>Detección de anticuerpos contra el virus de la PPC</t>
  </si>
  <si>
    <t>Certificación de granjas genéticas núcleo</t>
  </si>
  <si>
    <t>Construcción de documentos</t>
  </si>
  <si>
    <t>Administración del programa</t>
  </si>
  <si>
    <t>Administración de la base de datos</t>
  </si>
  <si>
    <t>Ciclos de vacunación</t>
  </si>
  <si>
    <t>Contratación de personal</t>
  </si>
  <si>
    <t>Convenio MADR</t>
  </si>
  <si>
    <t>FNP</t>
  </si>
  <si>
    <t>Gastos de interventoria Convenio MADR</t>
  </si>
  <si>
    <t>Auxilios de comités de ganaderos y distribuidores</t>
  </si>
  <si>
    <t>Arrendamientos de equipos e instalaciones</t>
  </si>
  <si>
    <t>Recolección de desechos biológicos</t>
  </si>
  <si>
    <t>CUOTA DE ADMINISTRACIÓN</t>
  </si>
  <si>
    <t>TOTAL GASTOS</t>
  </si>
  <si>
    <t>gasto fnp</t>
  </si>
  <si>
    <t>gasto ppc</t>
  </si>
  <si>
    <t>MINISTERIO DE AGRICULTURA Y DESARROLLO RURAL</t>
  </si>
  <si>
    <t>ANEXO 1</t>
  </si>
  <si>
    <t>PRESUPUESTO</t>
  </si>
  <si>
    <t>INICIAL</t>
  </si>
  <si>
    <t>MODIFICADO</t>
  </si>
  <si>
    <t>% VARIACIÓN</t>
  </si>
  <si>
    <t>SOLICITADO</t>
  </si>
  <si>
    <t>AÑO 2008</t>
  </si>
  <si>
    <t>AÑO 2009</t>
  </si>
  <si>
    <t>OCT-DIC/09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</si>
  <si>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</si>
  <si>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</si>
  <si>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</si>
  <si>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</si>
  <si>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</si>
  <si>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</si>
  <si>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</si>
  <si>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</si>
  <si>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</si>
  <si>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</si>
  <si>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</si>
  <si>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</si>
  <si>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</si>
  <si>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</si>
  <si>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</si>
  <si>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</si>
  <si>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</si>
  <si>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</si>
  <si>
    <t>VARIABLES DE INGRESOS VIGENCIA 2009</t>
  </si>
  <si>
    <t>INGRESOS FNP</t>
  </si>
  <si>
    <t>INGRESOS PPC</t>
  </si>
  <si>
    <t>CABEZAS ESTIMADAS AÑO 2008</t>
  </si>
  <si>
    <t>Incremento presupuestado</t>
  </si>
  <si>
    <t>TOTAL CABEZAS MAS INCREMENTO PARA 2009</t>
  </si>
  <si>
    <t>SALARIO MÍNIMO MENSUAL LEGAL VIGENTE AÑO 2008</t>
  </si>
  <si>
    <t>TOTAL S.M.M.L.V MAS INCREMENTO</t>
  </si>
  <si>
    <t>Salario diario legal vigente estimado año 2009</t>
  </si>
  <si>
    <t>CUOTA FOMENTO PORCICOLA ESTIMADA AÑO 2009</t>
  </si>
  <si>
    <t>CUOTA EPPC ESTIMADA AÑO 2009</t>
  </si>
  <si>
    <t>TOTAL CUOTA</t>
  </si>
  <si>
    <t>TENAZAS</t>
  </si>
  <si>
    <t>UNIDADES</t>
  </si>
  <si>
    <t>BULONES</t>
  </si>
  <si>
    <t>BIOLÓGICO</t>
  </si>
  <si>
    <t>OPCION 1</t>
  </si>
  <si>
    <t>CHAPETAS</t>
  </si>
  <si>
    <t>TOTAL VENTAS PPC</t>
  </si>
  <si>
    <t>RENDIMIENTOS FINANCIEROS</t>
  </si>
  <si>
    <t>INGRESOS EXTRAORDINARIOS FNP</t>
  </si>
  <si>
    <t>OTROS INGRESOS FINANCIEROS</t>
  </si>
  <si>
    <t>PRECIO</t>
  </si>
  <si>
    <t>ingresos fnp</t>
  </si>
  <si>
    <t>gastos fnp</t>
  </si>
  <si>
    <t>diferencia</t>
  </si>
  <si>
    <t>ingresos ppc</t>
  </si>
  <si>
    <t>gastos ppc</t>
  </si>
  <si>
    <t>PRESUPUESTO EJECUTADO</t>
  </si>
  <si>
    <t>% EJECUCIÓN</t>
  </si>
  <si>
    <t>EJECUCIÓN TRIMESTRE OCTUBRE - DICIEMBRE DE 2009</t>
  </si>
  <si>
    <t>EJECUTADO</t>
  </si>
  <si>
    <t>ACUERDO 1/10</t>
  </si>
  <si>
    <t>EJECUCION TRIMESTRE OCTUBRE -DICIEMBRE DE 2009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</si>
</sst>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 * #,##0_ ;_ * \-#,##0_ ;_ * &quot;-&quot;??_ ;_ @_ "/>
    <numFmt numFmtId="189" formatCode="_(* #,##0.000_);_(* \(#,##0.000\);_(* &quot;-&quot;??_);_(@_)"/>
    <numFmt numFmtId="190" formatCode="_(* #,##0_);_(* \(#,##0\);_(* &quot;-&quot;??_);_(@_)"/>
    <numFmt numFmtId="191" formatCode="0.0%"/>
    <numFmt numFmtId="192" formatCode="#,##0;[Red]#,##0"/>
    <numFmt numFmtId="193" formatCode="_ &quot;$&quot;\ * #,##0_ ;_ &quot;$&quot;\ * \-#,##0_ ;_ &quot;$&quot;\ * &quot;-&quot;??_ ;_ @_ 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9"/>
      <color indexed="14"/>
      <name val="Times New Roman"/>
      <family val="1"/>
    </font>
    <font>
      <sz val="10"/>
      <color indexed="14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sz val="11"/>
      <name val="Comic Sans MS"/>
      <family val="4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0"/>
      <color indexed="9"/>
      <name val="Comic Sans MS"/>
      <family val="4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1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5" fillId="0" borderId="0" xfId="0" applyFont="1" applyAlignment="1">
      <alignment/>
    </xf>
    <xf numFmtId="3" fontId="2" fillId="32" borderId="12" xfId="0" applyNumberFormat="1" applyFont="1" applyFill="1" applyBorder="1" applyAlignment="1">
      <alignment/>
    </xf>
    <xf numFmtId="188" fontId="2" fillId="32" borderId="13" xfId="47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32" borderId="12" xfId="0" applyNumberFormat="1" applyFont="1" applyFill="1" applyBorder="1" applyAlignment="1">
      <alignment/>
    </xf>
    <xf numFmtId="188" fontId="4" fillId="32" borderId="13" xfId="47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0" fillId="0" borderId="0" xfId="63" applyNumberFormat="1" applyFont="1" applyAlignment="1">
      <alignment/>
    </xf>
    <xf numFmtId="3" fontId="0" fillId="0" borderId="0" xfId="0" applyNumberFormat="1" applyAlignment="1">
      <alignment/>
    </xf>
    <xf numFmtId="188" fontId="4" fillId="32" borderId="13" xfId="47" applyNumberFormat="1" applyFont="1" applyFill="1" applyBorder="1" applyAlignment="1">
      <alignment/>
    </xf>
    <xf numFmtId="188" fontId="8" fillId="32" borderId="13" xfId="47" applyNumberFormat="1" applyFont="1" applyFill="1" applyBorder="1" applyAlignment="1">
      <alignment/>
    </xf>
    <xf numFmtId="188" fontId="7" fillId="0" borderId="0" xfId="47" applyNumberFormat="1" applyFont="1" applyAlignment="1">
      <alignment horizontal="right"/>
    </xf>
    <xf numFmtId="0" fontId="2" fillId="32" borderId="12" xfId="0" applyFont="1" applyFill="1" applyBorder="1" applyAlignment="1">
      <alignment/>
    </xf>
    <xf numFmtId="188" fontId="2" fillId="32" borderId="13" xfId="47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0" fontId="3" fillId="0" borderId="0" xfId="0" applyNumberFormat="1" applyFont="1" applyAlignment="1">
      <alignment/>
    </xf>
    <xf numFmtId="188" fontId="3" fillId="0" borderId="0" xfId="47" applyNumberFormat="1" applyFont="1" applyAlignment="1">
      <alignment/>
    </xf>
    <xf numFmtId="188" fontId="0" fillId="0" borderId="0" xfId="0" applyNumberFormat="1" applyAlignment="1">
      <alignment/>
    </xf>
    <xf numFmtId="37" fontId="2" fillId="32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4" fillId="32" borderId="12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wrapText="1" indent="1"/>
    </xf>
    <xf numFmtId="10" fontId="10" fillId="0" borderId="0" xfId="0" applyNumberFormat="1" applyFont="1" applyAlignment="1">
      <alignment/>
    </xf>
    <xf numFmtId="0" fontId="4" fillId="32" borderId="15" xfId="0" applyFont="1" applyFill="1" applyBorder="1" applyAlignment="1">
      <alignment horizontal="left" indent="1"/>
    </xf>
    <xf numFmtId="0" fontId="4" fillId="32" borderId="15" xfId="0" applyFont="1" applyFill="1" applyBorder="1" applyAlignment="1">
      <alignment horizontal="left" indent="1"/>
    </xf>
    <xf numFmtId="37" fontId="4" fillId="32" borderId="12" xfId="0" applyNumberFormat="1" applyFont="1" applyFill="1" applyBorder="1" applyAlignment="1">
      <alignment horizontal="left"/>
    </xf>
    <xf numFmtId="37" fontId="4" fillId="32" borderId="12" xfId="0" applyNumberFormat="1" applyFont="1" applyFill="1" applyBorder="1" applyAlignment="1">
      <alignment horizontal="left" wrapText="1"/>
    </xf>
    <xf numFmtId="37" fontId="2" fillId="32" borderId="12" xfId="0" applyNumberFormat="1" applyFont="1" applyFill="1" applyBorder="1" applyAlignment="1">
      <alignment horizontal="left"/>
    </xf>
    <xf numFmtId="37" fontId="2" fillId="32" borderId="12" xfId="0" applyNumberFormat="1" applyFont="1" applyFill="1" applyBorder="1" applyAlignment="1">
      <alignment horizontal="left" wrapText="1"/>
    </xf>
    <xf numFmtId="37" fontId="4" fillId="32" borderId="12" xfId="0" applyNumberFormat="1" applyFont="1" applyFill="1" applyBorder="1" applyAlignment="1">
      <alignment horizontal="left"/>
    </xf>
    <xf numFmtId="188" fontId="4" fillId="0" borderId="13" xfId="47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88" fontId="2" fillId="0" borderId="13" xfId="47" applyNumberFormat="1" applyFont="1" applyFill="1" applyBorder="1" applyAlignment="1">
      <alignment/>
    </xf>
    <xf numFmtId="188" fontId="4" fillId="0" borderId="13" xfId="47" applyNumberFormat="1" applyFont="1" applyFill="1" applyBorder="1" applyAlignment="1">
      <alignment/>
    </xf>
    <xf numFmtId="188" fontId="4" fillId="32" borderId="0" xfId="47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3" fontId="2" fillId="32" borderId="17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3" fillId="32" borderId="0" xfId="0" applyFont="1" applyFill="1" applyAlignment="1">
      <alignment/>
    </xf>
    <xf numFmtId="3" fontId="3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188" fontId="3" fillId="32" borderId="0" xfId="47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0" fontId="2" fillId="32" borderId="18" xfId="56" applyNumberFormat="1" applyFont="1" applyFill="1" applyBorder="1" applyAlignment="1">
      <alignment horizontal="center"/>
    </xf>
    <xf numFmtId="190" fontId="2" fillId="32" borderId="19" xfId="56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13" fillId="32" borderId="20" xfId="0" applyFont="1" applyFill="1" applyBorder="1" applyAlignment="1">
      <alignment/>
    </xf>
    <xf numFmtId="190" fontId="2" fillId="32" borderId="21" xfId="56" applyNumberFormat="1" applyFont="1" applyFill="1" applyBorder="1" applyAlignment="1">
      <alignment horizontal="center"/>
    </xf>
    <xf numFmtId="190" fontId="2" fillId="32" borderId="22" xfId="56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14" fillId="32" borderId="23" xfId="0" applyFont="1" applyFill="1" applyBorder="1" applyAlignment="1">
      <alignment horizontal="center"/>
    </xf>
    <xf numFmtId="190" fontId="2" fillId="32" borderId="24" xfId="56" applyNumberFormat="1" applyFont="1" applyFill="1" applyBorder="1" applyAlignment="1">
      <alignment horizontal="center"/>
    </xf>
    <xf numFmtId="190" fontId="2" fillId="32" borderId="25" xfId="56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171" fontId="13" fillId="32" borderId="26" xfId="0" applyNumberFormat="1" applyFont="1" applyFill="1" applyBorder="1" applyAlignment="1">
      <alignment/>
    </xf>
    <xf numFmtId="0" fontId="2" fillId="32" borderId="27" xfId="0" applyFont="1" applyFill="1" applyBorder="1" applyAlignment="1">
      <alignment horizontal="left"/>
    </xf>
    <xf numFmtId="190" fontId="2" fillId="32" borderId="28" xfId="56" applyNumberFormat="1" applyFont="1" applyFill="1" applyBorder="1" applyAlignment="1">
      <alignment horizontal="center"/>
    </xf>
    <xf numFmtId="190" fontId="2" fillId="32" borderId="20" xfId="56" applyNumberFormat="1" applyFont="1" applyFill="1" applyBorder="1" applyAlignment="1">
      <alignment horizontal="center"/>
    </xf>
    <xf numFmtId="10" fontId="2" fillId="32" borderId="29" xfId="63" applyNumberFormat="1" applyFont="1" applyFill="1" applyBorder="1" applyAlignment="1">
      <alignment/>
    </xf>
    <xf numFmtId="190" fontId="2" fillId="0" borderId="20" xfId="56" applyNumberFormat="1" applyFont="1" applyFill="1" applyBorder="1" applyAlignment="1">
      <alignment horizontal="center"/>
    </xf>
    <xf numFmtId="0" fontId="4" fillId="32" borderId="30" xfId="0" applyFont="1" applyFill="1" applyBorder="1" applyAlignment="1">
      <alignment/>
    </xf>
    <xf numFmtId="188" fontId="4" fillId="32" borderId="29" xfId="55" applyNumberFormat="1" applyFont="1" applyFill="1" applyBorder="1" applyAlignment="1">
      <alignment/>
    </xf>
    <xf numFmtId="190" fontId="4" fillId="32" borderId="31" xfId="56" applyNumberFormat="1" applyFont="1" applyFill="1" applyBorder="1" applyAlignment="1">
      <alignment/>
    </xf>
    <xf numFmtId="188" fontId="4" fillId="32" borderId="32" xfId="55" applyNumberFormat="1" applyFont="1" applyFill="1" applyBorder="1" applyAlignment="1">
      <alignment/>
    </xf>
    <xf numFmtId="188" fontId="4" fillId="0" borderId="32" xfId="55" applyNumberFormat="1" applyFont="1" applyFill="1" applyBorder="1" applyAlignment="1">
      <alignment/>
    </xf>
    <xf numFmtId="0" fontId="2" fillId="32" borderId="33" xfId="0" applyFont="1" applyFill="1" applyBorder="1" applyAlignment="1">
      <alignment/>
    </xf>
    <xf numFmtId="190" fontId="2" fillId="32" borderId="34" xfId="56" applyNumberFormat="1" applyFont="1" applyFill="1" applyBorder="1" applyAlignment="1">
      <alignment/>
    </xf>
    <xf numFmtId="190" fontId="2" fillId="32" borderId="35" xfId="56" applyNumberFormat="1" applyFont="1" applyFill="1" applyBorder="1" applyAlignment="1">
      <alignment/>
    </xf>
    <xf numFmtId="190" fontId="2" fillId="32" borderId="36" xfId="56" applyNumberFormat="1" applyFont="1" applyFill="1" applyBorder="1" applyAlignment="1">
      <alignment/>
    </xf>
    <xf numFmtId="190" fontId="2" fillId="0" borderId="36" xfId="56" applyNumberFormat="1" applyFont="1" applyFill="1" applyBorder="1" applyAlignment="1">
      <alignment/>
    </xf>
    <xf numFmtId="188" fontId="13" fillId="0" borderId="0" xfId="0" applyNumberFormat="1" applyFont="1" applyAlignment="1">
      <alignment/>
    </xf>
    <xf numFmtId="188" fontId="4" fillId="32" borderId="31" xfId="55" applyNumberFormat="1" applyFont="1" applyFill="1" applyBorder="1" applyAlignment="1">
      <alignment/>
    </xf>
    <xf numFmtId="10" fontId="4" fillId="32" borderId="29" xfId="63" applyNumberFormat="1" applyFont="1" applyFill="1" applyBorder="1" applyAlignment="1">
      <alignment/>
    </xf>
    <xf numFmtId="188" fontId="13" fillId="0" borderId="0" xfId="47" applyNumberFormat="1" applyFont="1" applyAlignment="1">
      <alignment/>
    </xf>
    <xf numFmtId="0" fontId="2" fillId="32" borderId="30" xfId="0" applyFont="1" applyFill="1" applyBorder="1" applyAlignment="1">
      <alignment/>
    </xf>
    <xf numFmtId="188" fontId="2" fillId="32" borderId="29" xfId="55" applyNumberFormat="1" applyFont="1" applyFill="1" applyBorder="1" applyAlignment="1">
      <alignment/>
    </xf>
    <xf numFmtId="188" fontId="2" fillId="32" borderId="31" xfId="55" applyNumberFormat="1" applyFont="1" applyFill="1" applyBorder="1" applyAlignment="1">
      <alignment/>
    </xf>
    <xf numFmtId="188" fontId="2" fillId="32" borderId="32" xfId="55" applyNumberFormat="1" applyFont="1" applyFill="1" applyBorder="1" applyAlignment="1">
      <alignment/>
    </xf>
    <xf numFmtId="188" fontId="2" fillId="0" borderId="32" xfId="55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88" fontId="4" fillId="32" borderId="29" xfId="63" applyNumberFormat="1" applyFont="1" applyFill="1" applyBorder="1" applyAlignment="1">
      <alignment/>
    </xf>
    <xf numFmtId="188" fontId="4" fillId="32" borderId="32" xfId="65" applyNumberFormat="1" applyFont="1" applyFill="1" applyBorder="1" applyAlignment="1">
      <alignment/>
    </xf>
    <xf numFmtId="188" fontId="4" fillId="0" borderId="32" xfId="63" applyNumberFormat="1" applyFont="1" applyFill="1" applyBorder="1" applyAlignment="1">
      <alignment/>
    </xf>
    <xf numFmtId="0" fontId="15" fillId="0" borderId="0" xfId="0" applyFont="1" applyAlignment="1">
      <alignment/>
    </xf>
    <xf numFmtId="0" fontId="4" fillId="32" borderId="37" xfId="0" applyFont="1" applyFill="1" applyBorder="1" applyAlignment="1">
      <alignment/>
    </xf>
    <xf numFmtId="188" fontId="4" fillId="32" borderId="38" xfId="55" applyNumberFormat="1" applyFont="1" applyFill="1" applyBorder="1" applyAlignment="1">
      <alignment/>
    </xf>
    <xf numFmtId="190" fontId="4" fillId="32" borderId="39" xfId="56" applyNumberFormat="1" applyFont="1" applyFill="1" applyBorder="1" applyAlignment="1">
      <alignment/>
    </xf>
    <xf numFmtId="188" fontId="4" fillId="32" borderId="40" xfId="55" applyNumberFormat="1" applyFont="1" applyFill="1" applyBorder="1" applyAlignment="1">
      <alignment/>
    </xf>
    <xf numFmtId="171" fontId="13" fillId="0" borderId="0" xfId="47" applyFont="1" applyAlignment="1">
      <alignment/>
    </xf>
    <xf numFmtId="188" fontId="4" fillId="0" borderId="40" xfId="55" applyNumberFormat="1" applyFont="1" applyFill="1" applyBorder="1" applyAlignment="1">
      <alignment/>
    </xf>
    <xf numFmtId="0" fontId="2" fillId="32" borderId="41" xfId="0" applyFont="1" applyFill="1" applyBorder="1" applyAlignment="1">
      <alignment/>
    </xf>
    <xf numFmtId="188" fontId="2" fillId="32" borderId="42" xfId="0" applyNumberFormat="1" applyFont="1" applyFill="1" applyBorder="1" applyAlignment="1">
      <alignment/>
    </xf>
    <xf numFmtId="188" fontId="2" fillId="32" borderId="43" xfId="0" applyNumberFormat="1" applyFont="1" applyFill="1" applyBorder="1" applyAlignment="1">
      <alignment/>
    </xf>
    <xf numFmtId="188" fontId="2" fillId="32" borderId="44" xfId="0" applyNumberFormat="1" applyFont="1" applyFill="1" applyBorder="1" applyAlignment="1">
      <alignment/>
    </xf>
    <xf numFmtId="10" fontId="14" fillId="32" borderId="44" xfId="63" applyNumberFormat="1" applyFont="1" applyFill="1" applyBorder="1" applyAlignment="1">
      <alignment/>
    </xf>
    <xf numFmtId="188" fontId="2" fillId="0" borderId="4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0" fontId="4" fillId="0" borderId="0" xfId="56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91" fontId="4" fillId="0" borderId="0" xfId="63" applyNumberFormat="1" applyFont="1" applyFill="1" applyAlignment="1">
      <alignment/>
    </xf>
    <xf numFmtId="0" fontId="4" fillId="0" borderId="0" xfId="0" applyFont="1" applyFill="1" applyAlignment="1" quotePrefix="1">
      <alignment horizontal="left"/>
    </xf>
    <xf numFmtId="191" fontId="16" fillId="0" borderId="0" xfId="63" applyNumberFormat="1" applyFont="1" applyAlignment="1">
      <alignment/>
    </xf>
    <xf numFmtId="188" fontId="16" fillId="0" borderId="0" xfId="63" applyNumberFormat="1" applyFont="1" applyAlignment="1">
      <alignment/>
    </xf>
    <xf numFmtId="188" fontId="16" fillId="0" borderId="0" xfId="0" applyNumberFormat="1" applyFont="1" applyAlignment="1">
      <alignment/>
    </xf>
    <xf numFmtId="179" fontId="17" fillId="0" borderId="0" xfId="0" applyNumberFormat="1" applyFont="1" applyFill="1" applyAlignment="1">
      <alignment/>
    </xf>
    <xf numFmtId="10" fontId="16" fillId="0" borderId="0" xfId="63" applyNumberFormat="1" applyFont="1" applyAlignment="1">
      <alignment/>
    </xf>
    <xf numFmtId="0" fontId="16" fillId="0" borderId="0" xfId="0" applyFont="1" applyAlignment="1">
      <alignment/>
    </xf>
    <xf numFmtId="170" fontId="4" fillId="0" borderId="0" xfId="59" applyFont="1" applyFill="1" applyAlignment="1">
      <alignment/>
    </xf>
    <xf numFmtId="190" fontId="2" fillId="0" borderId="0" xfId="0" applyNumberFormat="1" applyFont="1" applyFill="1" applyAlignment="1">
      <alignment/>
    </xf>
    <xf numFmtId="10" fontId="4" fillId="0" borderId="0" xfId="63" applyNumberFormat="1" applyFont="1" applyFill="1" applyAlignment="1">
      <alignment/>
    </xf>
    <xf numFmtId="192" fontId="2" fillId="0" borderId="0" xfId="0" applyNumberFormat="1" applyFont="1" applyFill="1" applyAlignment="1">
      <alignment/>
    </xf>
    <xf numFmtId="171" fontId="4" fillId="0" borderId="0" xfId="47" applyFont="1" applyFill="1" applyAlignment="1">
      <alignment/>
    </xf>
    <xf numFmtId="43" fontId="13" fillId="0" borderId="0" xfId="0" applyNumberFormat="1" applyFont="1" applyAlignment="1">
      <alignment/>
    </xf>
    <xf numFmtId="193" fontId="4" fillId="0" borderId="0" xfId="59" applyNumberFormat="1" applyFont="1" applyFill="1" applyAlignment="1">
      <alignment/>
    </xf>
    <xf numFmtId="170" fontId="13" fillId="0" borderId="0" xfId="0" applyNumberFormat="1" applyFont="1" applyAlignment="1">
      <alignment/>
    </xf>
    <xf numFmtId="190" fontId="18" fillId="0" borderId="0" xfId="56" applyNumberFormat="1" applyFont="1" applyFill="1" applyAlignment="1">
      <alignment/>
    </xf>
    <xf numFmtId="0" fontId="19" fillId="0" borderId="0" xfId="0" applyFont="1" applyAlignment="1">
      <alignment/>
    </xf>
    <xf numFmtId="0" fontId="2" fillId="33" borderId="0" xfId="0" applyFont="1" applyFill="1" applyAlignment="1">
      <alignment/>
    </xf>
    <xf numFmtId="190" fontId="4" fillId="33" borderId="0" xfId="56" applyNumberFormat="1" applyFont="1" applyFill="1" applyAlignment="1">
      <alignment/>
    </xf>
    <xf numFmtId="190" fontId="2" fillId="33" borderId="0" xfId="56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170" fontId="2" fillId="0" borderId="0" xfId="59" applyFont="1" applyFill="1" applyAlignment="1">
      <alignment/>
    </xf>
    <xf numFmtId="0" fontId="2" fillId="33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0" fontId="2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170" fontId="13" fillId="0" borderId="0" xfId="63" applyNumberFormat="1" applyFont="1" applyAlignment="1">
      <alignment/>
    </xf>
    <xf numFmtId="3" fontId="13" fillId="34" borderId="45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90" fontId="13" fillId="0" borderId="0" xfId="56" applyNumberFormat="1" applyFont="1" applyAlignment="1">
      <alignment/>
    </xf>
    <xf numFmtId="0" fontId="2" fillId="32" borderId="46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/>
    </xf>
    <xf numFmtId="188" fontId="2" fillId="32" borderId="47" xfId="47" applyNumberFormat="1" applyFont="1" applyFill="1" applyBorder="1" applyAlignment="1">
      <alignment/>
    </xf>
    <xf numFmtId="188" fontId="4" fillId="32" borderId="47" xfId="47" applyNumberFormat="1" applyFont="1" applyFill="1" applyBorder="1" applyAlignment="1">
      <alignment/>
    </xf>
    <xf numFmtId="188" fontId="2" fillId="32" borderId="47" xfId="47" applyNumberFormat="1" applyFont="1" applyFill="1" applyBorder="1" applyAlignment="1">
      <alignment/>
    </xf>
    <xf numFmtId="188" fontId="4" fillId="32" borderId="47" xfId="47" applyNumberFormat="1" applyFont="1" applyFill="1" applyBorder="1" applyAlignment="1">
      <alignment/>
    </xf>
    <xf numFmtId="188" fontId="2" fillId="0" borderId="47" xfId="47" applyNumberFormat="1" applyFont="1" applyFill="1" applyBorder="1" applyAlignment="1">
      <alignment/>
    </xf>
    <xf numFmtId="188" fontId="4" fillId="0" borderId="47" xfId="47" applyNumberFormat="1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2" fillId="32" borderId="49" xfId="0" applyFont="1" applyFill="1" applyBorder="1" applyAlignment="1">
      <alignment horizontal="center" vertical="center" wrapText="1"/>
    </xf>
    <xf numFmtId="9" fontId="2" fillId="32" borderId="14" xfId="63" applyFont="1" applyFill="1" applyBorder="1" applyAlignment="1">
      <alignment/>
    </xf>
    <xf numFmtId="10" fontId="4" fillId="32" borderId="14" xfId="63" applyNumberFormat="1" applyFont="1" applyFill="1" applyBorder="1" applyAlignment="1">
      <alignment/>
    </xf>
    <xf numFmtId="10" fontId="2" fillId="32" borderId="14" xfId="63" applyNumberFormat="1" applyFont="1" applyFill="1" applyBorder="1" applyAlignment="1">
      <alignment/>
    </xf>
    <xf numFmtId="10" fontId="2" fillId="32" borderId="14" xfId="63" applyNumberFormat="1" applyFont="1" applyFill="1" applyBorder="1" applyAlignment="1">
      <alignment/>
    </xf>
    <xf numFmtId="10" fontId="4" fillId="32" borderId="14" xfId="63" applyNumberFormat="1" applyFont="1" applyFill="1" applyBorder="1" applyAlignment="1">
      <alignment/>
    </xf>
    <xf numFmtId="10" fontId="2" fillId="0" borderId="14" xfId="63" applyNumberFormat="1" applyFont="1" applyFill="1" applyBorder="1" applyAlignment="1">
      <alignment/>
    </xf>
    <xf numFmtId="10" fontId="4" fillId="0" borderId="14" xfId="63" applyNumberFormat="1" applyFont="1" applyFill="1" applyBorder="1" applyAlignment="1">
      <alignment/>
    </xf>
    <xf numFmtId="10" fontId="4" fillId="32" borderId="50" xfId="63" applyNumberFormat="1" applyFont="1" applyFill="1" applyBorder="1" applyAlignment="1">
      <alignment/>
    </xf>
    <xf numFmtId="16" fontId="2" fillId="32" borderId="23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190" fontId="4" fillId="32" borderId="0" xfId="56" applyNumberFormat="1" applyFont="1" applyFill="1" applyAlignment="1">
      <alignment/>
    </xf>
    <xf numFmtId="0" fontId="13" fillId="32" borderId="0" xfId="0" applyFont="1" applyFill="1" applyAlignment="1">
      <alignment/>
    </xf>
    <xf numFmtId="0" fontId="2" fillId="32" borderId="0" xfId="0" applyFont="1" applyFill="1" applyAlignment="1">
      <alignment horizontal="centerContinuous"/>
    </xf>
    <xf numFmtId="190" fontId="4" fillId="32" borderId="0" xfId="56" applyNumberFormat="1" applyFont="1" applyFill="1" applyAlignment="1">
      <alignment horizontal="centerContinuous"/>
    </xf>
    <xf numFmtId="0" fontId="4" fillId="32" borderId="0" xfId="0" applyFont="1" applyFill="1" applyAlignment="1">
      <alignment horizontal="centerContinuous"/>
    </xf>
    <xf numFmtId="0" fontId="2" fillId="32" borderId="0" xfId="0" applyFont="1" applyFill="1" applyBorder="1" applyAlignment="1">
      <alignment horizontal="center"/>
    </xf>
    <xf numFmtId="188" fontId="2" fillId="32" borderId="17" xfId="47" applyNumberFormat="1" applyFont="1" applyFill="1" applyBorder="1" applyAlignment="1">
      <alignment/>
    </xf>
    <xf numFmtId="188" fontId="2" fillId="32" borderId="51" xfId="47" applyNumberFormat="1" applyFont="1" applyFill="1" applyBorder="1" applyAlignment="1">
      <alignment/>
    </xf>
    <xf numFmtId="169" fontId="26" fillId="0" borderId="52" xfId="0" applyNumberFormat="1" applyFont="1" applyFill="1" applyBorder="1" applyAlignment="1">
      <alignment/>
    </xf>
    <xf numFmtId="169" fontId="26" fillId="0" borderId="13" xfId="0" applyNumberFormat="1" applyFont="1" applyFill="1" applyBorder="1" applyAlignment="1">
      <alignment/>
    </xf>
    <xf numFmtId="169" fontId="13" fillId="0" borderId="53" xfId="0" applyNumberFormat="1" applyFont="1" applyFill="1" applyBorder="1" applyAlignment="1">
      <alignment/>
    </xf>
    <xf numFmtId="188" fontId="3" fillId="0" borderId="0" xfId="0" applyNumberFormat="1" applyFont="1" applyAlignment="1">
      <alignment/>
    </xf>
    <xf numFmtId="185" fontId="4" fillId="0" borderId="54" xfId="63" applyNumberFormat="1" applyFont="1" applyFill="1" applyBorder="1" applyAlignment="1">
      <alignment/>
    </xf>
    <xf numFmtId="185" fontId="4" fillId="0" borderId="54" xfId="55" applyNumberFormat="1" applyFont="1" applyFill="1" applyBorder="1" applyAlignment="1">
      <alignment/>
    </xf>
    <xf numFmtId="185" fontId="4" fillId="0" borderId="55" xfId="55" applyNumberFormat="1" applyFont="1" applyFill="1" applyBorder="1" applyAlignment="1">
      <alignment/>
    </xf>
    <xf numFmtId="9" fontId="13" fillId="32" borderId="0" xfId="63" applyFont="1" applyFill="1" applyAlignment="1">
      <alignment/>
    </xf>
    <xf numFmtId="9" fontId="2" fillId="32" borderId="20" xfId="63" applyFont="1" applyFill="1" applyBorder="1" applyAlignment="1">
      <alignment horizontal="center"/>
    </xf>
    <xf numFmtId="9" fontId="2" fillId="32" borderId="23" xfId="63" applyFont="1" applyFill="1" applyBorder="1" applyAlignment="1">
      <alignment horizontal="center"/>
    </xf>
    <xf numFmtId="9" fontId="2" fillId="32" borderId="26" xfId="63" applyFont="1" applyFill="1" applyBorder="1" applyAlignment="1">
      <alignment horizontal="center"/>
    </xf>
    <xf numFmtId="9" fontId="4" fillId="32" borderId="40" xfId="63" applyFont="1" applyFill="1" applyBorder="1" applyAlignment="1">
      <alignment/>
    </xf>
    <xf numFmtId="9" fontId="13" fillId="0" borderId="0" xfId="63" applyFont="1" applyAlignment="1">
      <alignment/>
    </xf>
    <xf numFmtId="9" fontId="19" fillId="0" borderId="0" xfId="63" applyFont="1" applyAlignment="1">
      <alignment/>
    </xf>
    <xf numFmtId="10" fontId="2" fillId="0" borderId="20" xfId="63" applyNumberFormat="1" applyFont="1" applyFill="1" applyBorder="1" applyAlignment="1">
      <alignment horizontal="center"/>
    </xf>
    <xf numFmtId="10" fontId="4" fillId="0" borderId="32" xfId="63" applyNumberFormat="1" applyFont="1" applyFill="1" applyBorder="1" applyAlignment="1">
      <alignment/>
    </xf>
    <xf numFmtId="10" fontId="2" fillId="0" borderId="36" xfId="63" applyNumberFormat="1" applyFont="1" applyFill="1" applyBorder="1" applyAlignment="1">
      <alignment horizontal="center"/>
    </xf>
    <xf numFmtId="10" fontId="4" fillId="0" borderId="32" xfId="63" applyNumberFormat="1" applyFont="1" applyFill="1" applyBorder="1" applyAlignment="1">
      <alignment horizontal="center"/>
    </xf>
    <xf numFmtId="10" fontId="2" fillId="0" borderId="32" xfId="63" applyNumberFormat="1" applyFont="1" applyFill="1" applyBorder="1" applyAlignment="1">
      <alignment horizontal="center"/>
    </xf>
    <xf numFmtId="10" fontId="4" fillId="32" borderId="32" xfId="63" applyNumberFormat="1" applyFont="1" applyFill="1" applyBorder="1" applyAlignment="1">
      <alignment horizontal="center"/>
    </xf>
    <xf numFmtId="10" fontId="2" fillId="32" borderId="32" xfId="63" applyNumberFormat="1" applyFont="1" applyFill="1" applyBorder="1" applyAlignment="1">
      <alignment horizontal="center"/>
    </xf>
    <xf numFmtId="10" fontId="4" fillId="32" borderId="40" xfId="63" applyNumberFormat="1" applyFont="1" applyFill="1" applyBorder="1" applyAlignment="1">
      <alignment horizontal="center"/>
    </xf>
    <xf numFmtId="10" fontId="4" fillId="0" borderId="40" xfId="63" applyNumberFormat="1" applyFont="1" applyFill="1" applyBorder="1" applyAlignment="1">
      <alignment horizontal="center"/>
    </xf>
    <xf numFmtId="9" fontId="2" fillId="0" borderId="44" xfId="63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Millares 6" xfId="53"/>
    <cellStyle name="Millares 6 2" xfId="54"/>
    <cellStyle name="Millares_Formato Presupuesto Minagricultura" xfId="55"/>
    <cellStyle name="Millares_INGRESOS 2005" xfId="56"/>
    <cellStyle name="Currency" xfId="57"/>
    <cellStyle name="Currency [0]" xfId="58"/>
    <cellStyle name="Moneda 2" xfId="59"/>
    <cellStyle name="Neutral" xfId="60"/>
    <cellStyle name="Normal 2" xfId="61"/>
    <cellStyle name="Notas" xfId="62"/>
    <cellStyle name="Percent" xfId="63"/>
    <cellStyle name="Porcentual 2" xfId="64"/>
    <cellStyle name="Porcentual 3" xfId="65"/>
    <cellStyle name="Porcentual 4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19-09%20propues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ACUERDOS%202009\ANEXO%20ACUERDO%2017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09\MANEJO%20PPTO%202009\GASTO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Anexo 2 "/>
      <sheetName val="Funcionamiento"/>
      <sheetName val="Nómina y honorarios 2009"/>
      <sheetName val="Inversión total en programas"/>
      <sheetName val="MODELO CONTRATISTAS"/>
      <sheetName val="Servicios personal 2005"/>
      <sheetName val="Nómina 2004"/>
    </sheetNames>
    <sheetDataSet>
      <sheetData sheetId="0">
        <row r="15">
          <cell r="D15">
            <v>1879936344.6475291</v>
          </cell>
        </row>
        <row r="32">
          <cell r="D32">
            <v>3946232500</v>
          </cell>
        </row>
        <row r="39">
          <cell r="F39">
            <v>4496163544.318999</v>
          </cell>
        </row>
      </sheetData>
      <sheetData sheetId="4">
        <row r="8">
          <cell r="H8">
            <v>16676000</v>
          </cell>
        </row>
        <row r="10">
          <cell r="H10">
            <v>0</v>
          </cell>
        </row>
        <row r="12">
          <cell r="H12">
            <v>4774000</v>
          </cell>
          <cell r="I12">
            <v>1758019</v>
          </cell>
        </row>
        <row r="14">
          <cell r="I14">
            <v>1088199</v>
          </cell>
          <cell r="J14">
            <v>1088199</v>
          </cell>
          <cell r="K14">
            <v>1088199</v>
          </cell>
          <cell r="L14">
            <v>1088199</v>
          </cell>
        </row>
        <row r="16">
          <cell r="H16">
            <v>6071000.25</v>
          </cell>
          <cell r="I16">
            <v>3115894</v>
          </cell>
          <cell r="J16">
            <v>2192555</v>
          </cell>
          <cell r="K16">
            <v>1812520</v>
          </cell>
          <cell r="L16">
            <v>2533040</v>
          </cell>
        </row>
        <row r="18">
          <cell r="H18">
            <v>10027705.8683</v>
          </cell>
          <cell r="I18">
            <v>668000</v>
          </cell>
          <cell r="J18">
            <v>200000</v>
          </cell>
        </row>
        <row r="20">
          <cell r="H20">
            <v>5406000</v>
          </cell>
          <cell r="I20">
            <v>28595151</v>
          </cell>
          <cell r="J20">
            <v>3000000</v>
          </cell>
          <cell r="K20">
            <v>1610000</v>
          </cell>
          <cell r="L20">
            <v>2243000</v>
          </cell>
        </row>
        <row r="22">
          <cell r="I22">
            <v>7288200</v>
          </cell>
          <cell r="J22">
            <v>10378463</v>
          </cell>
        </row>
        <row r="24">
          <cell r="H24">
            <v>8010000</v>
          </cell>
          <cell r="I24">
            <v>15000000</v>
          </cell>
          <cell r="J24">
            <v>18603181</v>
          </cell>
          <cell r="K24">
            <v>1500000</v>
          </cell>
          <cell r="L24">
            <v>9593000</v>
          </cell>
        </row>
        <row r="26">
          <cell r="H26">
            <v>870000</v>
          </cell>
          <cell r="I26">
            <v>552400</v>
          </cell>
        </row>
        <row r="28">
          <cell r="H28">
            <v>13598000</v>
          </cell>
          <cell r="I28">
            <v>6773000</v>
          </cell>
          <cell r="J28">
            <v>0</v>
          </cell>
        </row>
        <row r="30">
          <cell r="H30">
            <v>7000000</v>
          </cell>
        </row>
        <row r="32">
          <cell r="H32">
            <v>14985000</v>
          </cell>
          <cell r="I32">
            <v>16900000</v>
          </cell>
        </row>
        <row r="34">
          <cell r="H34">
            <v>32178000</v>
          </cell>
        </row>
      </sheetData>
      <sheetData sheetId="5">
        <row r="12">
          <cell r="K12">
            <v>27307315.494853333</v>
          </cell>
          <cell r="L12">
            <v>2087163.7722794446</v>
          </cell>
          <cell r="M12">
            <v>250459.65267353333</v>
          </cell>
          <cell r="N12">
            <v>2087163.7722794446</v>
          </cell>
          <cell r="O12">
            <v>1043581.8861397223</v>
          </cell>
          <cell r="S12">
            <v>5529276.833886418</v>
          </cell>
          <cell r="U12">
            <v>980253.4106941334</v>
          </cell>
          <cell r="X12">
            <v>1225316.7633676669</v>
          </cell>
        </row>
        <row r="24">
          <cell r="K24">
            <v>111681235.94992</v>
          </cell>
          <cell r="L24">
            <v>7673572.275965556</v>
          </cell>
          <cell r="M24">
            <v>920828.6731158667</v>
          </cell>
          <cell r="N24">
            <v>7673572.275965556</v>
          </cell>
          <cell r="O24">
            <v>4653384.831246668</v>
          </cell>
          <cell r="S24">
            <v>22391099.450233057</v>
          </cell>
          <cell r="U24">
            <v>4224873.947670134</v>
          </cell>
          <cell r="X24">
            <v>5281092.434587667</v>
          </cell>
        </row>
        <row r="41">
          <cell r="K41">
            <v>48822710.704950005</v>
          </cell>
          <cell r="L41">
            <v>2435361.838884722</v>
          </cell>
          <cell r="M41">
            <v>292243.42066616664</v>
          </cell>
          <cell r="N41">
            <v>2435361.838884722</v>
          </cell>
          <cell r="O41">
            <v>2034279.6127062498</v>
          </cell>
          <cell r="S41">
            <v>8989705.854982791</v>
          </cell>
          <cell r="U41">
            <v>1710532.9378713334</v>
          </cell>
          <cell r="X41">
            <v>2138166.1723391665</v>
          </cell>
        </row>
        <row r="50">
          <cell r="K50">
            <v>20897631.975826666</v>
          </cell>
          <cell r="L50">
            <v>1741469.3313188888</v>
          </cell>
          <cell r="M50">
            <v>208976.31975826665</v>
          </cell>
          <cell r="N50">
            <v>1741469.3313188888</v>
          </cell>
          <cell r="O50">
            <v>870734.6656594444</v>
          </cell>
          <cell r="S50">
            <v>4355286.521091615</v>
          </cell>
          <cell r="U50">
            <v>828710.2123664</v>
          </cell>
          <cell r="X50">
            <v>1035887.7654579999</v>
          </cell>
        </row>
        <row r="57">
          <cell r="K57">
            <v>156206042.47595668</v>
          </cell>
          <cell r="L57">
            <v>10160336.692364445</v>
          </cell>
          <cell r="M57">
            <v>1219240.4030837337</v>
          </cell>
          <cell r="N57">
            <v>10160336.692364445</v>
          </cell>
          <cell r="O57">
            <v>5896767.039446111</v>
          </cell>
          <cell r="S57">
            <v>32151084.68439412</v>
          </cell>
          <cell r="U57">
            <v>5991476.075378268</v>
          </cell>
          <cell r="X57">
            <v>7489345.094222833</v>
          </cell>
        </row>
        <row r="88">
          <cell r="I88">
            <v>12000000</v>
          </cell>
        </row>
      </sheetData>
      <sheetData sheetId="6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9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Anexo 2 "/>
      <sheetName val="Funcionamiento"/>
      <sheetName val="Nómina y honorarios 2009"/>
      <sheetName val="Inversión total en programas"/>
      <sheetName val="MODELO CONTRATISTAS"/>
      <sheetName val="Servicios personal 2005"/>
      <sheetName val="Nómina 2004"/>
    </sheetNames>
    <sheetDataSet>
      <sheetData sheetId="3">
        <row r="25">
          <cell r="G25">
            <v>6799906.9047</v>
          </cell>
        </row>
        <row r="178">
          <cell r="D178">
            <v>1909678023.1572108</v>
          </cell>
          <cell r="H178">
            <v>4330736761.109172</v>
          </cell>
        </row>
      </sheetData>
      <sheetData sheetId="6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9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CO  ENE-MAR-09"/>
      <sheetName val="TECN ENE-MAR-09"/>
      <sheetName val="PPC ENE-MAR-09"/>
      <sheetName val="MER ENE-MAR-09"/>
      <sheetName val="FUNC ENE-MAR-09"/>
      <sheetName val="ECO ABR-JUN-09"/>
      <sheetName val="TECN ABR-JUN-09"/>
      <sheetName val="PPC ABR-JUN-09"/>
      <sheetName val="MER ABR-JUN-09"/>
      <sheetName val="FUNC ABR-JUN-09"/>
      <sheetName val="ECO JUL-SEPT-09"/>
      <sheetName val="TECN JUL-SEPT-09"/>
      <sheetName val="PPC JUL-SEPT-09"/>
      <sheetName val="MER JUL-SEPT-09"/>
      <sheetName val="FUNC JUL-SEPT-09"/>
      <sheetName val="ECO OCT-DIC-09"/>
      <sheetName val="TECN OCT-DIC09"/>
      <sheetName val="PPC OCT-DIC-09"/>
      <sheetName val="MER OCT-DIC-09"/>
      <sheetName val="FUNC OCT-DIC09"/>
    </sheetNames>
    <sheetDataSet>
      <sheetData sheetId="15">
        <row r="152">
          <cell r="G152">
            <v>177447711.2</v>
          </cell>
        </row>
        <row r="306">
          <cell r="G306">
            <v>93749802.8</v>
          </cell>
        </row>
        <row r="570">
          <cell r="G570">
            <v>17479137</v>
          </cell>
        </row>
        <row r="609">
          <cell r="G609">
            <v>8367934.4</v>
          </cell>
        </row>
        <row r="623">
          <cell r="G623">
            <v>0</v>
          </cell>
        </row>
        <row r="628">
          <cell r="G628">
            <v>12220000</v>
          </cell>
        </row>
        <row r="634">
          <cell r="G634">
            <v>5879182</v>
          </cell>
        </row>
        <row r="657">
          <cell r="G657">
            <v>0</v>
          </cell>
        </row>
        <row r="661">
          <cell r="G661">
            <v>1458839</v>
          </cell>
        </row>
      </sheetData>
      <sheetData sheetId="16">
        <row r="227">
          <cell r="G227">
            <v>56607490</v>
          </cell>
        </row>
      </sheetData>
      <sheetData sheetId="18">
        <row r="129">
          <cell r="G129">
            <v>31980040</v>
          </cell>
        </row>
        <row r="133">
          <cell r="G133">
            <v>26750000</v>
          </cell>
        </row>
        <row r="137">
          <cell r="G137">
            <v>0</v>
          </cell>
        </row>
        <row r="141">
          <cell r="G141">
            <v>0</v>
          </cell>
        </row>
        <row r="145">
          <cell r="G1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550"/>
  <sheetViews>
    <sheetView view="pageBreakPreview" zoomScale="75" zoomScaleNormal="75" zoomScaleSheetLayoutView="75" zoomScalePageLayoutView="0" workbookViewId="0" topLeftCell="A7">
      <selection activeCell="J20" sqref="J20"/>
    </sheetView>
  </sheetViews>
  <sheetFormatPr defaultColWidth="11.421875" defaultRowHeight="12.75" outlineLevelRow="1"/>
  <cols>
    <col min="1" max="1" width="47.28125" style="58" customWidth="1"/>
    <col min="2" max="2" width="21.00390625" style="150" hidden="1" customWidth="1"/>
    <col min="3" max="3" width="25.140625" style="150" hidden="1" customWidth="1"/>
    <col min="4" max="4" width="25.7109375" style="58" hidden="1" customWidth="1"/>
    <col min="5" max="5" width="17.140625" style="58" hidden="1" customWidth="1"/>
    <col min="6" max="6" width="25.57421875" style="58" customWidth="1"/>
    <col min="7" max="7" width="20.57421875" style="58" bestFit="1" customWidth="1"/>
    <col min="8" max="8" width="18.57421875" style="58" bestFit="1" customWidth="1"/>
    <col min="9" max="9" width="16.140625" style="191" bestFit="1" customWidth="1"/>
    <col min="10" max="10" width="18.00390625" style="58" bestFit="1" customWidth="1"/>
    <col min="11" max="11" width="11.8515625" style="58" bestFit="1" customWidth="1"/>
    <col min="12" max="12" width="12.00390625" style="58" bestFit="1" customWidth="1"/>
    <col min="13" max="16384" width="11.421875" style="58" customWidth="1"/>
  </cols>
  <sheetData>
    <row r="1" spans="1:9" ht="15">
      <c r="A1" s="170"/>
      <c r="B1" s="171"/>
      <c r="C1" s="171"/>
      <c r="D1" s="170"/>
      <c r="E1" s="172"/>
      <c r="F1" s="172"/>
      <c r="G1" s="172"/>
      <c r="H1" s="172"/>
      <c r="I1" s="186"/>
    </row>
    <row r="2" spans="1:9" ht="15">
      <c r="A2" s="206" t="s">
        <v>176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206" t="s">
        <v>1</v>
      </c>
      <c r="B3" s="206"/>
      <c r="C3" s="206"/>
      <c r="D3" s="206"/>
      <c r="E3" s="206"/>
      <c r="F3" s="206"/>
      <c r="G3" s="206"/>
      <c r="H3" s="206"/>
      <c r="I3" s="206"/>
    </row>
    <row r="4" spans="1:9" ht="15">
      <c r="A4" s="206" t="s">
        <v>237</v>
      </c>
      <c r="B4" s="206"/>
      <c r="C4" s="206"/>
      <c r="D4" s="206"/>
      <c r="E4" s="206"/>
      <c r="F4" s="206"/>
      <c r="G4" s="206"/>
      <c r="H4" s="206"/>
      <c r="I4" s="206"/>
    </row>
    <row r="5" spans="1:9" ht="15">
      <c r="A5" s="173"/>
      <c r="B5" s="174"/>
      <c r="C5" s="174"/>
      <c r="D5" s="175"/>
      <c r="E5" s="172"/>
      <c r="F5" s="172"/>
      <c r="G5" s="172"/>
      <c r="H5" s="172"/>
      <c r="I5" s="186"/>
    </row>
    <row r="6" spans="1:9" ht="15">
      <c r="A6" s="207" t="s">
        <v>177</v>
      </c>
      <c r="B6" s="207"/>
      <c r="C6" s="207"/>
      <c r="D6" s="207"/>
      <c r="E6" s="207"/>
      <c r="F6" s="207"/>
      <c r="G6" s="207"/>
      <c r="H6" s="207"/>
      <c r="I6" s="207"/>
    </row>
    <row r="7" spans="1:9" ht="15.75" thickBot="1">
      <c r="A7" s="176"/>
      <c r="B7" s="176"/>
      <c r="C7" s="176"/>
      <c r="D7" s="176"/>
      <c r="E7" s="172"/>
      <c r="F7" s="172"/>
      <c r="G7" s="172"/>
      <c r="H7" s="172"/>
      <c r="I7" s="186"/>
    </row>
    <row r="8" spans="1:9" ht="15">
      <c r="A8" s="203" t="s">
        <v>4</v>
      </c>
      <c r="B8" s="59" t="s">
        <v>178</v>
      </c>
      <c r="C8" s="60" t="s">
        <v>178</v>
      </c>
      <c r="D8" s="61" t="s">
        <v>178</v>
      </c>
      <c r="E8" s="62"/>
      <c r="F8" s="61" t="s">
        <v>178</v>
      </c>
      <c r="G8" s="61" t="s">
        <v>178</v>
      </c>
      <c r="H8" s="61"/>
      <c r="I8" s="187" t="s">
        <v>233</v>
      </c>
    </row>
    <row r="9" spans="1:9" ht="16.5">
      <c r="A9" s="204"/>
      <c r="B9" s="63" t="s">
        <v>179</v>
      </c>
      <c r="C9" s="64" t="s">
        <v>180</v>
      </c>
      <c r="D9" s="65"/>
      <c r="E9" s="66" t="s">
        <v>181</v>
      </c>
      <c r="F9" s="65" t="s">
        <v>182</v>
      </c>
      <c r="G9" s="65" t="s">
        <v>235</v>
      </c>
      <c r="H9" s="169" t="s">
        <v>236</v>
      </c>
      <c r="I9" s="188"/>
    </row>
    <row r="10" spans="1:9" ht="15.75" thickBot="1">
      <c r="A10" s="205"/>
      <c r="B10" s="67" t="s">
        <v>183</v>
      </c>
      <c r="C10" s="68" t="s">
        <v>183</v>
      </c>
      <c r="D10" s="69" t="s">
        <v>184</v>
      </c>
      <c r="E10" s="70"/>
      <c r="F10" s="69" t="s">
        <v>185</v>
      </c>
      <c r="G10" s="69" t="s">
        <v>185</v>
      </c>
      <c r="H10" s="69"/>
      <c r="I10" s="189"/>
    </row>
    <row r="11" spans="1:9" ht="15">
      <c r="A11" s="71" t="s">
        <v>186</v>
      </c>
      <c r="B11" s="72">
        <v>11843003483.17</v>
      </c>
      <c r="C11" s="60">
        <v>10736573233.17</v>
      </c>
      <c r="D11" s="73">
        <f>+D13+D17+D21</f>
        <v>9247430285.591364</v>
      </c>
      <c r="E11" s="74">
        <v>-0.2119894760032773</v>
      </c>
      <c r="F11" s="75">
        <f>+F13+F17+F21</f>
        <v>3150530064.3189993</v>
      </c>
      <c r="G11" s="75">
        <f>+G13+G17+G21</f>
        <v>3924100842</v>
      </c>
      <c r="H11" s="75">
        <f>+G11-F11</f>
        <v>773570777.6810007</v>
      </c>
      <c r="I11" s="193">
        <f>+G11/F11</f>
        <v>1.2455367071217622</v>
      </c>
    </row>
    <row r="12" spans="1:9" ht="13.5" customHeight="1">
      <c r="A12" s="76"/>
      <c r="B12" s="77"/>
      <c r="C12" s="78"/>
      <c r="D12" s="79">
        <v>0</v>
      </c>
      <c r="E12" s="74"/>
      <c r="F12" s="80"/>
      <c r="G12" s="80"/>
      <c r="H12" s="80"/>
      <c r="I12" s="194"/>
    </row>
    <row r="13" spans="1:10" ht="15">
      <c r="A13" s="81" t="s">
        <v>187</v>
      </c>
      <c r="B13" s="82">
        <v>7878843120</v>
      </c>
      <c r="C13" s="83">
        <v>6657101808</v>
      </c>
      <c r="D13" s="84">
        <f>+D14+CUOTAPPC2005</f>
        <v>7519745378.5901165</v>
      </c>
      <c r="E13" s="74">
        <v>0.13879683202198542</v>
      </c>
      <c r="F13" s="85">
        <f>+F14+F15</f>
        <v>2492425731.3189993</v>
      </c>
      <c r="G13" s="85">
        <f>+G14+G15</f>
        <v>2885326845</v>
      </c>
      <c r="H13" s="85">
        <f>+G13-F13</f>
        <v>392901113.6810007</v>
      </c>
      <c r="I13" s="195">
        <f>+G13/F13</f>
        <v>1.1576380426280852</v>
      </c>
      <c r="J13" s="86"/>
    </row>
    <row r="14" spans="1:12" ht="15">
      <c r="A14" s="76" t="s">
        <v>188</v>
      </c>
      <c r="B14" s="77">
        <v>5909132340</v>
      </c>
      <c r="C14" s="87">
        <v>4992826356</v>
      </c>
      <c r="D14" s="79">
        <v>5639809033.942587</v>
      </c>
      <c r="E14" s="88">
        <v>0.13879683202198542</v>
      </c>
      <c r="F14" s="80">
        <v>1868784554.6767492</v>
      </c>
      <c r="G14" s="80">
        <v>2163181667</v>
      </c>
      <c r="H14" s="80">
        <f>+G14-F14</f>
        <v>294397112.3232508</v>
      </c>
      <c r="I14" s="196">
        <f>+G14/F14</f>
        <v>1.1575340033641137</v>
      </c>
      <c r="J14" s="89"/>
      <c r="L14" s="86"/>
    </row>
    <row r="15" spans="1:12" ht="15">
      <c r="A15" s="76" t="s">
        <v>189</v>
      </c>
      <c r="B15" s="77">
        <v>1969710780</v>
      </c>
      <c r="C15" s="87">
        <v>1664275452</v>
      </c>
      <c r="D15" s="79">
        <v>1879936344.6475291</v>
      </c>
      <c r="E15" s="88">
        <v>0.13879683202198542</v>
      </c>
      <c r="F15" s="80">
        <v>623641176.6422498</v>
      </c>
      <c r="G15" s="80">
        <v>722145178</v>
      </c>
      <c r="H15" s="80">
        <f>+G15-F15</f>
        <v>98504001.35775018</v>
      </c>
      <c r="I15" s="196">
        <f>+G15/F15</f>
        <v>1.1579498035843403</v>
      </c>
      <c r="J15" s="89"/>
      <c r="L15" s="86"/>
    </row>
    <row r="16" spans="1:12" ht="15">
      <c r="A16" s="76"/>
      <c r="B16" s="77"/>
      <c r="C16" s="78"/>
      <c r="D16" s="79">
        <v>0</v>
      </c>
      <c r="E16" s="88"/>
      <c r="F16" s="80"/>
      <c r="G16" s="80"/>
      <c r="H16" s="80"/>
      <c r="I16" s="196"/>
      <c r="L16" s="86"/>
    </row>
    <row r="17" spans="1:9" ht="15">
      <c r="A17" s="90" t="s">
        <v>190</v>
      </c>
      <c r="B17" s="91">
        <v>139650000</v>
      </c>
      <c r="C17" s="92">
        <v>252310449</v>
      </c>
      <c r="D17" s="93">
        <f>+D18+D19</f>
        <v>86666666.66666666</v>
      </c>
      <c r="E17" s="74">
        <v>-0.6565078180069084</v>
      </c>
      <c r="F17" s="94">
        <f>+F18+F19</f>
        <v>21932567</v>
      </c>
      <c r="G17" s="94">
        <f>+G18+G19</f>
        <v>0</v>
      </c>
      <c r="H17" s="94">
        <f>+G17-F17</f>
        <v>-21932567</v>
      </c>
      <c r="I17" s="197">
        <f>+G17/F17</f>
        <v>0</v>
      </c>
    </row>
    <row r="18" spans="1:10" ht="15">
      <c r="A18" s="76" t="s">
        <v>188</v>
      </c>
      <c r="B18" s="77">
        <v>105000000</v>
      </c>
      <c r="C18" s="78">
        <v>184188043</v>
      </c>
      <c r="D18" s="79">
        <v>65000000</v>
      </c>
      <c r="E18" s="88">
        <v>-0.6470997848649709</v>
      </c>
      <c r="F18" s="80">
        <v>17899069</v>
      </c>
      <c r="G18" s="80"/>
      <c r="H18" s="80">
        <f>+G18-F18</f>
        <v>-17899069</v>
      </c>
      <c r="I18" s="196">
        <f>+G18/F18</f>
        <v>0</v>
      </c>
      <c r="J18" s="89"/>
    </row>
    <row r="19" spans="1:10" ht="15">
      <c r="A19" s="76" t="s">
        <v>189</v>
      </c>
      <c r="B19" s="77">
        <v>34650000</v>
      </c>
      <c r="C19" s="78">
        <v>68122406</v>
      </c>
      <c r="D19" s="79">
        <v>21666666.666666664</v>
      </c>
      <c r="E19" s="88">
        <v>-0.6819450759465738</v>
      </c>
      <c r="F19" s="80">
        <v>4033498</v>
      </c>
      <c r="G19" s="80"/>
      <c r="H19" s="80">
        <f>+G19-F19</f>
        <v>-4033498</v>
      </c>
      <c r="I19" s="196">
        <f>+G19/F19</f>
        <v>0</v>
      </c>
      <c r="J19" s="89"/>
    </row>
    <row r="20" spans="1:10" ht="15">
      <c r="A20" s="76"/>
      <c r="B20" s="77"/>
      <c r="C20" s="78"/>
      <c r="D20" s="79">
        <v>0</v>
      </c>
      <c r="E20" s="88"/>
      <c r="F20" s="80"/>
      <c r="G20" s="80"/>
      <c r="H20" s="80"/>
      <c r="I20" s="196"/>
      <c r="J20" s="86"/>
    </row>
    <row r="21" spans="1:9" ht="15">
      <c r="A21" s="90" t="s">
        <v>191</v>
      </c>
      <c r="B21" s="91">
        <v>3824510363.17</v>
      </c>
      <c r="C21" s="92">
        <v>3827160976.17</v>
      </c>
      <c r="D21" s="93">
        <f>+D22+D23</f>
        <v>1641018240.3345804</v>
      </c>
      <c r="E21" s="74">
        <v>-0.792854393042033</v>
      </c>
      <c r="F21" s="94">
        <f>+F22+F23</f>
        <v>636171766</v>
      </c>
      <c r="G21" s="94">
        <f>+G22+G23</f>
        <v>1038773997</v>
      </c>
      <c r="H21" s="94">
        <f>+G21-F21</f>
        <v>402602231</v>
      </c>
      <c r="I21" s="197">
        <f>+G21/F21</f>
        <v>1.6328514601196558</v>
      </c>
    </row>
    <row r="22" spans="1:9" ht="15">
      <c r="A22" s="76" t="s">
        <v>188</v>
      </c>
      <c r="B22" s="96">
        <v>1528530908.3900003</v>
      </c>
      <c r="C22" s="78">
        <v>1529959327.3900003</v>
      </c>
      <c r="D22" s="97">
        <v>878171122.1263447</v>
      </c>
      <c r="E22" s="88">
        <v>-0.5768856795489636</v>
      </c>
      <c r="F22" s="98">
        <v>588171766</v>
      </c>
      <c r="G22" s="183">
        <v>624308283</v>
      </c>
      <c r="H22" s="183">
        <f>+G22-F22</f>
        <v>36136517</v>
      </c>
      <c r="I22" s="196">
        <f>+G22/F22</f>
        <v>1.0614387141459627</v>
      </c>
    </row>
    <row r="23" spans="1:9" ht="15">
      <c r="A23" s="76" t="s">
        <v>189</v>
      </c>
      <c r="B23" s="77">
        <v>2295979454.7799997</v>
      </c>
      <c r="C23" s="78">
        <v>2297201648.7799997</v>
      </c>
      <c r="D23" s="79">
        <v>762847118.2082357</v>
      </c>
      <c r="E23" s="88">
        <v>-0.936691721301231</v>
      </c>
      <c r="F23" s="80">
        <v>48000000</v>
      </c>
      <c r="G23" s="184">
        <v>414465714</v>
      </c>
      <c r="H23" s="184">
        <f>+G23-F23</f>
        <v>366465714</v>
      </c>
      <c r="I23" s="196">
        <f>+G23/F23</f>
        <v>8.634702375</v>
      </c>
    </row>
    <row r="24" spans="1:9" ht="15">
      <c r="A24" s="76"/>
      <c r="B24" s="77"/>
      <c r="C24" s="78"/>
      <c r="D24" s="79">
        <v>0</v>
      </c>
      <c r="E24" s="88"/>
      <c r="F24" s="80"/>
      <c r="G24" s="80"/>
      <c r="H24" s="80"/>
      <c r="I24" s="196"/>
    </row>
    <row r="25" spans="1:9" ht="15">
      <c r="A25" s="90" t="s">
        <v>192</v>
      </c>
      <c r="B25" s="91">
        <v>6031353835.9</v>
      </c>
      <c r="C25" s="92">
        <v>6009353835.9</v>
      </c>
      <c r="D25" s="93">
        <f>+D27+D31</f>
        <v>6788887241.162424</v>
      </c>
      <c r="E25" s="74">
        <v>0.1672739606806458</v>
      </c>
      <c r="F25" s="94">
        <f>+F27+F31</f>
        <v>1345633480</v>
      </c>
      <c r="G25" s="94">
        <f>+G27+G31</f>
        <v>2055823611</v>
      </c>
      <c r="H25" s="94">
        <f>+G25-F25</f>
        <v>710190131</v>
      </c>
      <c r="I25" s="197">
        <f>+G25/F25</f>
        <v>1.5277738266440875</v>
      </c>
    </row>
    <row r="26" spans="1:9" ht="15">
      <c r="A26" s="76"/>
      <c r="B26" s="77"/>
      <c r="C26" s="78"/>
      <c r="D26" s="79">
        <v>0</v>
      </c>
      <c r="E26" s="74"/>
      <c r="F26" s="79"/>
      <c r="G26" s="79"/>
      <c r="H26" s="79"/>
      <c r="I26" s="198"/>
    </row>
    <row r="27" spans="1:9" ht="15">
      <c r="A27" s="90" t="s">
        <v>193</v>
      </c>
      <c r="B27" s="91">
        <v>195312463</v>
      </c>
      <c r="C27" s="92">
        <v>158312463</v>
      </c>
      <c r="D27" s="93">
        <f>+D28+D29</f>
        <v>33000000</v>
      </c>
      <c r="E27" s="74">
        <v>-0.7915514712192937</v>
      </c>
      <c r="F27" s="93">
        <f>+F28+F29</f>
        <v>15175410</v>
      </c>
      <c r="G27" s="93">
        <f>+G28+G29</f>
        <v>24845819</v>
      </c>
      <c r="H27" s="93">
        <f>+G27-F27</f>
        <v>9670409</v>
      </c>
      <c r="I27" s="199">
        <f aca="true" t="shared" si="0" ref="I27:I37">+G27/F27</f>
        <v>1.6372420250919086</v>
      </c>
    </row>
    <row r="28" spans="1:9" ht="15">
      <c r="A28" s="76" t="s">
        <v>194</v>
      </c>
      <c r="B28" s="77">
        <v>108204258</v>
      </c>
      <c r="C28" s="78">
        <v>108204258</v>
      </c>
      <c r="D28" s="79">
        <v>33000000</v>
      </c>
      <c r="E28" s="88">
        <v>-0.6950212439883835</v>
      </c>
      <c r="F28" s="79">
        <v>15175410</v>
      </c>
      <c r="G28" s="184">
        <v>21442313</v>
      </c>
      <c r="H28" s="184">
        <f>+G28-F28</f>
        <v>6266903</v>
      </c>
      <c r="I28" s="198">
        <f t="shared" si="0"/>
        <v>1.4129643284761335</v>
      </c>
    </row>
    <row r="29" spans="1:9" ht="15">
      <c r="A29" s="76" t="s">
        <v>195</v>
      </c>
      <c r="B29" s="77">
        <v>87108205</v>
      </c>
      <c r="C29" s="78">
        <v>50108205</v>
      </c>
      <c r="D29" s="79">
        <v>0</v>
      </c>
      <c r="E29" s="88">
        <v>-1</v>
      </c>
      <c r="F29" s="79">
        <v>0</v>
      </c>
      <c r="G29" s="184">
        <f>1692210+1711296</f>
        <v>3403506</v>
      </c>
      <c r="H29" s="184">
        <f>+G29-F29</f>
        <v>3403506</v>
      </c>
      <c r="I29" s="198">
        <v>1</v>
      </c>
    </row>
    <row r="30" spans="1:9" ht="15">
      <c r="A30" s="76"/>
      <c r="B30" s="77"/>
      <c r="C30" s="78"/>
      <c r="D30" s="79"/>
      <c r="E30" s="88"/>
      <c r="F30" s="79"/>
      <c r="G30" s="79"/>
      <c r="H30" s="79"/>
      <c r="I30" s="198"/>
    </row>
    <row r="31" spans="1:9" ht="15">
      <c r="A31" s="90" t="s">
        <v>196</v>
      </c>
      <c r="B31" s="91">
        <v>5836041372.9</v>
      </c>
      <c r="C31" s="92">
        <v>5851041372.9</v>
      </c>
      <c r="D31" s="93">
        <f>+VTAS2005+D33+D34+D35+D36+D37</f>
        <v>6755887241.162424</v>
      </c>
      <c r="E31" s="74">
        <v>0.19321703748303784</v>
      </c>
      <c r="F31" s="93">
        <f>+F32+F33+F34+F35+F36+F37</f>
        <v>1330458070</v>
      </c>
      <c r="G31" s="93">
        <f>+G32+G33+G34+G35+G36+G37</f>
        <v>2030977792</v>
      </c>
      <c r="H31" s="93">
        <f aca="true" t="shared" si="1" ref="H31:H37">+G31-F31</f>
        <v>700519722</v>
      </c>
      <c r="I31" s="199">
        <f t="shared" si="0"/>
        <v>1.5265252154846187</v>
      </c>
    </row>
    <row r="32" spans="1:10" ht="15">
      <c r="A32" s="76" t="s">
        <v>197</v>
      </c>
      <c r="B32" s="77">
        <v>3397071025</v>
      </c>
      <c r="C32" s="78">
        <v>3397071025</v>
      </c>
      <c r="D32" s="79">
        <v>3946232500</v>
      </c>
      <c r="E32" s="88">
        <v>0.16165734273983864</v>
      </c>
      <c r="F32" s="79">
        <v>977787082</v>
      </c>
      <c r="G32" s="184">
        <f>1045761857-71641115</f>
        <v>974120742</v>
      </c>
      <c r="H32" s="184">
        <f t="shared" si="1"/>
        <v>-3666340</v>
      </c>
      <c r="I32" s="198">
        <f t="shared" si="0"/>
        <v>0.9962503697711973</v>
      </c>
      <c r="J32" s="89"/>
    </row>
    <row r="33" spans="1:10" ht="15">
      <c r="A33" s="100" t="s">
        <v>198</v>
      </c>
      <c r="B33" s="101">
        <v>30033014.55</v>
      </c>
      <c r="C33" s="102">
        <v>20033014.55</v>
      </c>
      <c r="D33" s="103">
        <v>3852000</v>
      </c>
      <c r="E33" s="88">
        <v>-0.8077174061654141</v>
      </c>
      <c r="F33" s="103">
        <v>3000000</v>
      </c>
      <c r="G33" s="185">
        <v>983070</v>
      </c>
      <c r="H33" s="185">
        <f t="shared" si="1"/>
        <v>-2016930</v>
      </c>
      <c r="I33" s="200">
        <f t="shared" si="0"/>
        <v>0.32769</v>
      </c>
      <c r="J33" s="89"/>
    </row>
    <row r="34" spans="1:9" ht="15">
      <c r="A34" s="100" t="s">
        <v>199</v>
      </c>
      <c r="B34" s="101">
        <v>21853027.35</v>
      </c>
      <c r="C34" s="102">
        <v>21853027.35</v>
      </c>
      <c r="D34" s="103">
        <v>2400000</v>
      </c>
      <c r="E34" s="88">
        <v>-0.8901753994281255</v>
      </c>
      <c r="F34" s="103">
        <v>1500000</v>
      </c>
      <c r="G34" s="185">
        <v>9688180</v>
      </c>
      <c r="H34" s="185">
        <f t="shared" si="1"/>
        <v>8188180</v>
      </c>
      <c r="I34" s="200">
        <f t="shared" si="0"/>
        <v>6.458786666666667</v>
      </c>
    </row>
    <row r="35" spans="1:9" ht="15">
      <c r="A35" s="100" t="s">
        <v>200</v>
      </c>
      <c r="B35" s="101">
        <v>286424306</v>
      </c>
      <c r="C35" s="102">
        <v>311424306</v>
      </c>
      <c r="D35" s="103">
        <v>149087650</v>
      </c>
      <c r="E35" s="88">
        <v>-0.521271631251544</v>
      </c>
      <c r="F35" s="103">
        <v>36000000</v>
      </c>
      <c r="G35" s="185">
        <v>30636869</v>
      </c>
      <c r="H35" s="185">
        <f t="shared" si="1"/>
        <v>-5363131</v>
      </c>
      <c r="I35" s="200">
        <f t="shared" si="0"/>
        <v>0.8510241388888888</v>
      </c>
    </row>
    <row r="36" spans="1:9" ht="15">
      <c r="A36" s="100" t="s">
        <v>201</v>
      </c>
      <c r="B36" s="101">
        <v>1900660000</v>
      </c>
      <c r="C36" s="102">
        <v>1900660000</v>
      </c>
      <c r="D36" s="103">
        <v>1794315091.1624238</v>
      </c>
      <c r="E36" s="88">
        <v>0.06278350844571036</v>
      </c>
      <c r="F36" s="103">
        <v>261670988</v>
      </c>
      <c r="G36" s="185">
        <v>1015548931</v>
      </c>
      <c r="H36" s="185">
        <f t="shared" si="1"/>
        <v>753877943</v>
      </c>
      <c r="I36" s="200">
        <f t="shared" si="0"/>
        <v>3.8810146236005347</v>
      </c>
    </row>
    <row r="37" spans="1:9" ht="15">
      <c r="A37" s="100" t="s">
        <v>202</v>
      </c>
      <c r="B37" s="101">
        <v>200000000</v>
      </c>
      <c r="C37" s="102">
        <v>200000000</v>
      </c>
      <c r="D37" s="103">
        <v>860000000</v>
      </c>
      <c r="E37" s="88">
        <v>3.3</v>
      </c>
      <c r="F37" s="105">
        <v>50500000</v>
      </c>
      <c r="G37" s="185">
        <v>0</v>
      </c>
      <c r="H37" s="185">
        <f t="shared" si="1"/>
        <v>-50500000</v>
      </c>
      <c r="I37" s="201">
        <f t="shared" si="0"/>
        <v>0</v>
      </c>
    </row>
    <row r="38" spans="1:9" ht="16.5" thickBot="1">
      <c r="A38" s="100"/>
      <c r="B38" s="101"/>
      <c r="C38" s="102"/>
      <c r="D38" s="103">
        <v>0</v>
      </c>
      <c r="E38" s="88"/>
      <c r="F38" s="103"/>
      <c r="G38" s="103"/>
      <c r="H38" s="103"/>
      <c r="I38" s="190"/>
    </row>
    <row r="39" spans="1:9" ht="17.25" thickBot="1">
      <c r="A39" s="106" t="s">
        <v>203</v>
      </c>
      <c r="B39" s="107">
        <v>17874357319.07</v>
      </c>
      <c r="C39" s="108">
        <v>16745927069.07</v>
      </c>
      <c r="D39" s="109">
        <f>+D25+D11</f>
        <v>16036317526.753788</v>
      </c>
      <c r="E39" s="110">
        <v>-0.07588902729997818</v>
      </c>
      <c r="F39" s="111">
        <f>+F25+F11</f>
        <v>4496163544.318999</v>
      </c>
      <c r="G39" s="111">
        <f>+G25+G11</f>
        <v>5979924453</v>
      </c>
      <c r="H39" s="111">
        <f>+H25+H11</f>
        <v>1483760908.6810007</v>
      </c>
      <c r="I39" s="202">
        <f>+G39/F39</f>
        <v>1.330005991564912</v>
      </c>
    </row>
    <row r="40" spans="1:4" ht="15.75" hidden="1" outlineLevel="1">
      <c r="A40" s="112"/>
      <c r="B40" s="113"/>
      <c r="C40" s="113"/>
      <c r="D40" s="114"/>
    </row>
    <row r="41" spans="1:4" ht="15.75" hidden="1" outlineLevel="1">
      <c r="A41" s="115" t="s">
        <v>204</v>
      </c>
      <c r="B41" s="113"/>
      <c r="C41" s="113"/>
      <c r="D41" s="116"/>
    </row>
    <row r="42" spans="1:7" ht="16.5" hidden="1" outlineLevel="1">
      <c r="A42" s="115"/>
      <c r="B42" s="113"/>
      <c r="C42" s="113"/>
      <c r="D42" s="116"/>
      <c r="E42" s="117" t="s">
        <v>205</v>
      </c>
      <c r="F42" s="89">
        <f>+D14+D18+D22+D28+D33+D35+D36</f>
        <v>8563234897.231356</v>
      </c>
      <c r="G42" s="89"/>
    </row>
    <row r="43" spans="1:7" ht="16.5" hidden="1" outlineLevel="1">
      <c r="A43" s="112"/>
      <c r="B43" s="113"/>
      <c r="C43" s="113"/>
      <c r="D43" s="116"/>
      <c r="E43" s="117" t="s">
        <v>206</v>
      </c>
      <c r="F43" s="89">
        <f>+CUOTAPPC2005+D19+D23+D29+VTAS2005+D34+D37</f>
        <v>7473082629.522431</v>
      </c>
      <c r="G43" s="89"/>
    </row>
    <row r="44" spans="1:12" ht="15.75" hidden="1" outlineLevel="1">
      <c r="A44" s="112" t="s">
        <v>207</v>
      </c>
      <c r="B44" s="113"/>
      <c r="C44" s="113">
        <f>2274657*(1-4.1%)</f>
        <v>2181396.063</v>
      </c>
      <c r="D44" s="116"/>
      <c r="J44" s="113"/>
      <c r="K44" s="113"/>
      <c r="L44" s="113"/>
    </row>
    <row r="45" spans="1:4" ht="15.75" hidden="1" outlineLevel="1">
      <c r="A45" s="112" t="s">
        <v>208</v>
      </c>
      <c r="B45" s="113"/>
      <c r="C45" s="118">
        <v>0.049</v>
      </c>
      <c r="D45" s="116"/>
    </row>
    <row r="46" spans="1:8" ht="16.5" hidden="1" outlineLevel="1">
      <c r="A46" s="119" t="s">
        <v>209</v>
      </c>
      <c r="B46" s="112"/>
      <c r="C46" s="113">
        <f>+C44*(1+C45)</f>
        <v>2288284.470087</v>
      </c>
      <c r="D46" s="116"/>
      <c r="F46" s="120"/>
      <c r="G46" s="121"/>
      <c r="H46" s="122"/>
    </row>
    <row r="47" spans="1:8" ht="16.5" hidden="1" outlineLevel="1">
      <c r="A47" s="112"/>
      <c r="B47" s="112"/>
      <c r="C47" s="112"/>
      <c r="D47" s="123"/>
      <c r="F47" s="124"/>
      <c r="G47" s="125"/>
      <c r="H47" s="125"/>
    </row>
    <row r="48" spans="1:4" ht="15.75" hidden="1" outlineLevel="1">
      <c r="A48" s="119" t="s">
        <v>210</v>
      </c>
      <c r="B48" s="112"/>
      <c r="C48" s="126">
        <v>461500</v>
      </c>
      <c r="D48" s="127"/>
    </row>
    <row r="49" spans="1:4" ht="15.75" hidden="1" outlineLevel="1">
      <c r="A49" s="112" t="s">
        <v>208</v>
      </c>
      <c r="B49" s="112"/>
      <c r="C49" s="128">
        <v>0.0767</v>
      </c>
      <c r="D49" s="129"/>
    </row>
    <row r="50" spans="1:6" ht="15.75" hidden="1" outlineLevel="1">
      <c r="A50" s="112" t="s">
        <v>211</v>
      </c>
      <c r="B50" s="113"/>
      <c r="C50" s="126">
        <f>+C48*(1+C49)+2.95</f>
        <v>496900</v>
      </c>
      <c r="D50" s="130"/>
      <c r="E50" s="130"/>
      <c r="F50" s="104"/>
    </row>
    <row r="51" spans="1:7" ht="15.75" hidden="1" outlineLevel="1">
      <c r="A51" s="119" t="s">
        <v>212</v>
      </c>
      <c r="B51" s="113"/>
      <c r="C51" s="126">
        <f>ROUND(C50/30,0)</f>
        <v>16563</v>
      </c>
      <c r="D51" s="130"/>
      <c r="E51" s="130"/>
      <c r="F51" s="130"/>
      <c r="G51" s="131"/>
    </row>
    <row r="52" spans="1:4" ht="15.75" hidden="1" outlineLevel="1">
      <c r="A52" s="112"/>
      <c r="B52" s="113"/>
      <c r="C52" s="113"/>
      <c r="D52" s="112"/>
    </row>
    <row r="53" spans="1:4" ht="15.75" hidden="1" outlineLevel="1">
      <c r="A53" s="119" t="s">
        <v>213</v>
      </c>
      <c r="B53" s="113"/>
      <c r="C53" s="126">
        <f>+C55/4*3</f>
        <v>2484.75</v>
      </c>
      <c r="D53" s="118"/>
    </row>
    <row r="54" spans="1:5" ht="15.75" hidden="1" outlineLevel="1">
      <c r="A54" s="112" t="s">
        <v>214</v>
      </c>
      <c r="B54" s="113"/>
      <c r="C54" s="126">
        <f>+C55/4</f>
        <v>828.25</v>
      </c>
      <c r="D54" s="132"/>
      <c r="E54" s="133"/>
    </row>
    <row r="55" spans="1:5" ht="15.75" hidden="1" outlineLevel="1">
      <c r="A55" s="112" t="s">
        <v>215</v>
      </c>
      <c r="B55" s="113"/>
      <c r="C55" s="126">
        <f>+ROUND(C51*20%,0)</f>
        <v>3313</v>
      </c>
      <c r="D55" s="113"/>
      <c r="E55" s="133"/>
    </row>
    <row r="56" spans="1:9" ht="15.75" hidden="1" outlineLevel="1">
      <c r="A56" s="112"/>
      <c r="B56" s="113"/>
      <c r="C56" s="126"/>
      <c r="D56" s="134"/>
      <c r="E56" s="135"/>
      <c r="F56" s="135"/>
      <c r="G56" s="135"/>
      <c r="H56" s="135"/>
      <c r="I56" s="192"/>
    </row>
    <row r="57" spans="1:9" ht="15.75" hidden="1" outlineLevel="1">
      <c r="A57" s="136" t="s">
        <v>186</v>
      </c>
      <c r="B57" s="137"/>
      <c r="C57" s="138" t="e">
        <f>+C62+C63+C66+C67+C70+C71</f>
        <v>#REF!</v>
      </c>
      <c r="D57" s="139"/>
      <c r="E57" s="135"/>
      <c r="F57" s="135"/>
      <c r="G57" s="135"/>
      <c r="H57" s="135"/>
      <c r="I57" s="192"/>
    </row>
    <row r="58" spans="1:9" ht="15.75" hidden="1" outlineLevel="1">
      <c r="A58" s="112" t="s">
        <v>216</v>
      </c>
      <c r="B58" s="112"/>
      <c r="C58" s="126" t="e">
        <f>+#REF!</f>
        <v>#REF!</v>
      </c>
      <c r="D58" s="140" t="s">
        <v>217</v>
      </c>
      <c r="E58" s="135"/>
      <c r="F58" s="135"/>
      <c r="G58" s="135"/>
      <c r="H58" s="135"/>
      <c r="I58" s="192"/>
    </row>
    <row r="59" spans="1:9" ht="15.75" hidden="1" outlineLevel="1">
      <c r="A59" s="112" t="s">
        <v>218</v>
      </c>
      <c r="B59" s="112"/>
      <c r="C59" s="126" t="e">
        <f>+#REF!</f>
        <v>#REF!</v>
      </c>
      <c r="D59" s="140" t="s">
        <v>217</v>
      </c>
      <c r="E59" s="135"/>
      <c r="F59" s="135"/>
      <c r="G59" s="135"/>
      <c r="H59" s="135"/>
      <c r="I59" s="192"/>
    </row>
    <row r="60" spans="1:9" ht="15.75" hidden="1" outlineLevel="1">
      <c r="A60" s="112" t="s">
        <v>219</v>
      </c>
      <c r="B60" s="112"/>
      <c r="C60" s="126" t="e">
        <f>+#REF!</f>
        <v>#REF!</v>
      </c>
      <c r="D60" s="140" t="s">
        <v>220</v>
      </c>
      <c r="E60" s="99"/>
      <c r="F60" s="135"/>
      <c r="G60" s="135"/>
      <c r="H60" s="135"/>
      <c r="I60" s="192"/>
    </row>
    <row r="61" spans="1:9" ht="15.75" hidden="1" outlineLevel="1">
      <c r="A61" s="112" t="s">
        <v>221</v>
      </c>
      <c r="B61" s="112"/>
      <c r="C61" s="126" t="e">
        <f>+#REF!</f>
        <v>#REF!</v>
      </c>
      <c r="D61" s="140" t="s">
        <v>217</v>
      </c>
      <c r="E61" s="99"/>
      <c r="F61" s="135">
        <f>3000000</f>
        <v>3000000</v>
      </c>
      <c r="G61" s="135"/>
      <c r="H61" s="135"/>
      <c r="I61" s="192"/>
    </row>
    <row r="62" spans="1:9" ht="15.75" hidden="1" outlineLevel="1">
      <c r="A62" s="136" t="s">
        <v>222</v>
      </c>
      <c r="B62" s="112"/>
      <c r="C62" s="141" t="e">
        <f>SUM(C58:C61)</f>
        <v>#REF!</v>
      </c>
      <c r="D62" s="140"/>
      <c r="E62" s="135"/>
      <c r="F62" s="135"/>
      <c r="G62" s="135"/>
      <c r="H62" s="135"/>
      <c r="I62" s="192"/>
    </row>
    <row r="63" spans="1:9" ht="15.75" hidden="1" outlineLevel="1">
      <c r="A63" s="142" t="s">
        <v>223</v>
      </c>
      <c r="B63" s="112"/>
      <c r="C63" s="141">
        <f>+C64+C65</f>
        <v>33000000</v>
      </c>
      <c r="D63" s="143"/>
      <c r="E63" s="135"/>
      <c r="F63" s="135"/>
      <c r="G63" s="135"/>
      <c r="H63" s="135"/>
      <c r="I63" s="192"/>
    </row>
    <row r="64" spans="1:9" ht="15.75" hidden="1" outlineLevel="1">
      <c r="A64" s="112" t="s">
        <v>198</v>
      </c>
      <c r="B64" s="112"/>
      <c r="C64" s="126">
        <f>(300000000*11%)</f>
        <v>33000000</v>
      </c>
      <c r="D64" s="143"/>
      <c r="E64" s="135"/>
      <c r="F64" s="135"/>
      <c r="G64" s="135"/>
      <c r="H64" s="135"/>
      <c r="I64" s="192"/>
    </row>
    <row r="65" spans="1:9" ht="15.75" hidden="1" outlineLevel="1">
      <c r="A65" s="112" t="s">
        <v>199</v>
      </c>
      <c r="B65" s="112"/>
      <c r="C65" s="126">
        <v>0</v>
      </c>
      <c r="D65" s="143"/>
      <c r="E65" s="135"/>
      <c r="F65" s="135"/>
      <c r="G65" s="135"/>
      <c r="H65" s="135"/>
      <c r="I65" s="192"/>
    </row>
    <row r="66" spans="1:9" ht="15.75" hidden="1" outlineLevel="1">
      <c r="A66" s="136" t="s">
        <v>224</v>
      </c>
      <c r="B66" s="112"/>
      <c r="C66" s="141" t="e">
        <f>+#REF!</f>
        <v>#REF!</v>
      </c>
      <c r="D66" s="144"/>
      <c r="E66" s="135"/>
      <c r="F66" s="135"/>
      <c r="G66" s="135"/>
      <c r="H66" s="135"/>
      <c r="I66" s="192"/>
    </row>
    <row r="67" spans="1:9" ht="15.75" hidden="1" outlineLevel="1">
      <c r="A67" s="136" t="s">
        <v>225</v>
      </c>
      <c r="B67" s="112"/>
      <c r="C67" s="141">
        <f>+C68+C69</f>
        <v>6252000</v>
      </c>
      <c r="D67" s="145" t="s">
        <v>226</v>
      </c>
      <c r="E67" s="135"/>
      <c r="F67" s="135"/>
      <c r="G67" s="135"/>
      <c r="H67" s="135"/>
      <c r="I67" s="192"/>
    </row>
    <row r="68" spans="1:9" ht="15.75" hidden="1" outlineLevel="1">
      <c r="A68" s="112" t="s">
        <v>198</v>
      </c>
      <c r="B68" s="112"/>
      <c r="C68" s="126">
        <f>+(300000*12)*1.07</f>
        <v>3852000</v>
      </c>
      <c r="D68" s="145" t="s">
        <v>226</v>
      </c>
      <c r="E68" s="135"/>
      <c r="F68" s="135"/>
      <c r="G68" s="135"/>
      <c r="H68" s="135"/>
      <c r="I68" s="192"/>
    </row>
    <row r="69" spans="1:9" ht="15.75" hidden="1" outlineLevel="1">
      <c r="A69" s="112" t="s">
        <v>199</v>
      </c>
      <c r="B69"/>
      <c r="C69" s="126">
        <f>200000*12</f>
        <v>2400000</v>
      </c>
      <c r="D69" s="146"/>
      <c r="E69" s="135"/>
      <c r="F69" s="135"/>
      <c r="G69" s="135"/>
      <c r="H69" s="135"/>
      <c r="I69" s="192"/>
    </row>
    <row r="70" spans="1:9" ht="15.75" hidden="1" outlineLevel="1">
      <c r="A70" s="136" t="s">
        <v>201</v>
      </c>
      <c r="B70" s="58"/>
      <c r="C70" s="141" t="e">
        <f>+#REF!</f>
        <v>#REF!</v>
      </c>
      <c r="D70" s="135"/>
      <c r="E70" s="135"/>
      <c r="F70" s="135"/>
      <c r="G70" s="135"/>
      <c r="H70" s="135"/>
      <c r="I70" s="192"/>
    </row>
    <row r="71" spans="1:3" ht="15.75" hidden="1" collapsed="1">
      <c r="A71" s="136" t="s">
        <v>202</v>
      </c>
      <c r="B71" s="58"/>
      <c r="C71" s="141" t="e">
        <f>+#REF!</f>
        <v>#REF!</v>
      </c>
    </row>
    <row r="72" spans="1:7" ht="15">
      <c r="A72"/>
      <c r="B72" s="58"/>
      <c r="C72" s="58"/>
      <c r="F72" s="86"/>
      <c r="G72" s="95"/>
    </row>
    <row r="73" spans="1:6" ht="15">
      <c r="A73"/>
      <c r="B73" s="58"/>
      <c r="C73" s="147"/>
      <c r="F73" s="86"/>
    </row>
    <row r="74" spans="1:8" ht="15">
      <c r="A74" t="s">
        <v>227</v>
      </c>
      <c r="B74" s="58"/>
      <c r="C74" s="58"/>
      <c r="F74" s="95">
        <f>+F36+F35+F33+F28+F22+F18+F14</f>
        <v>2790701787.676749</v>
      </c>
      <c r="G74" s="95"/>
      <c r="H74" s="131"/>
    </row>
    <row r="75" spans="1:8" ht="15">
      <c r="A75" t="s">
        <v>228</v>
      </c>
      <c r="B75" s="58"/>
      <c r="C75" s="58"/>
      <c r="F75" s="148">
        <f>+'[4]Anexo 2 '!H178-'[4]Anexo 2 '!D178</f>
        <v>2421058737.951961</v>
      </c>
      <c r="H75" s="131"/>
    </row>
    <row r="76" spans="1:8" ht="15">
      <c r="A76" t="s">
        <v>229</v>
      </c>
      <c r="B76" s="58"/>
      <c r="C76" s="58"/>
      <c r="F76" s="149">
        <f>+F74-F75</f>
        <v>369643049.7247882</v>
      </c>
      <c r="G76" s="89"/>
      <c r="H76" s="89"/>
    </row>
    <row r="77" spans="1:8" ht="15">
      <c r="A77"/>
      <c r="B77" s="58"/>
      <c r="C77" s="58"/>
      <c r="H77" s="95"/>
    </row>
    <row r="78" spans="1:8" ht="15">
      <c r="A78" t="s">
        <v>230</v>
      </c>
      <c r="B78" s="58"/>
      <c r="C78" s="58"/>
      <c r="F78" s="86">
        <f>+F37+F34+F32+F19+F15+F23</f>
        <v>1705461756.6422498</v>
      </c>
      <c r="G78" s="89"/>
      <c r="H78" s="86"/>
    </row>
    <row r="79" spans="1:7" ht="15">
      <c r="A79" t="s">
        <v>231</v>
      </c>
      <c r="B79" s="58"/>
      <c r="C79" s="58"/>
      <c r="F79" s="148">
        <f>+'[4]Anexo 2 '!D178</f>
        <v>1909678023.1572108</v>
      </c>
      <c r="G79" s="89"/>
    </row>
    <row r="80" spans="1:6" ht="15">
      <c r="A80" t="s">
        <v>229</v>
      </c>
      <c r="B80" s="58"/>
      <c r="C80" s="58"/>
      <c r="F80" s="149">
        <f>+F78-F79</f>
        <v>-204216266.514961</v>
      </c>
    </row>
    <row r="81" spans="1:3" ht="15">
      <c r="A81"/>
      <c r="B81" s="58"/>
      <c r="C81" s="58"/>
    </row>
    <row r="82" spans="1:3" ht="15">
      <c r="A82"/>
      <c r="B82" s="58"/>
      <c r="C82" s="58"/>
    </row>
    <row r="83" spans="1:3" ht="15">
      <c r="A83"/>
      <c r="B83" s="58"/>
      <c r="C83" s="58"/>
    </row>
    <row r="84" spans="1:3" ht="15">
      <c r="A84"/>
      <c r="B84" s="58"/>
      <c r="C84" s="58"/>
    </row>
    <row r="85" spans="1:3" ht="15">
      <c r="A85"/>
      <c r="B85" s="58"/>
      <c r="C85" s="58"/>
    </row>
    <row r="86" spans="1:3" ht="15">
      <c r="A86"/>
      <c r="B86" s="58"/>
      <c r="C86" s="58"/>
    </row>
    <row r="87" spans="1:3" ht="15">
      <c r="A87"/>
      <c r="B87" s="58"/>
      <c r="C87" s="58"/>
    </row>
    <row r="88" spans="1:3" ht="15">
      <c r="A88"/>
      <c r="B88" s="58"/>
      <c r="C88" s="58"/>
    </row>
    <row r="89" spans="1:3" ht="15">
      <c r="A89"/>
      <c r="B89" s="58"/>
      <c r="C89" s="58"/>
    </row>
    <row r="90" spans="1:3" ht="15">
      <c r="A90"/>
      <c r="B90" s="58"/>
      <c r="C90" s="58"/>
    </row>
    <row r="91" spans="1:3" ht="15">
      <c r="A91"/>
      <c r="B91" s="58"/>
      <c r="C91" s="58"/>
    </row>
    <row r="92" spans="1:3" ht="15">
      <c r="A92"/>
      <c r="B92" s="58"/>
      <c r="C92" s="58"/>
    </row>
    <row r="93" spans="1:3" ht="15">
      <c r="A93"/>
      <c r="B93" s="58"/>
      <c r="C93" s="58"/>
    </row>
    <row r="94" spans="1:3" ht="15">
      <c r="A94"/>
      <c r="B94" s="58"/>
      <c r="C94" s="58"/>
    </row>
    <row r="95" spans="1:3" ht="15">
      <c r="A95"/>
      <c r="B95" s="58"/>
      <c r="C95" s="58"/>
    </row>
    <row r="96" spans="1:3" ht="15">
      <c r="A96"/>
      <c r="B96" s="58"/>
      <c r="C96" s="58"/>
    </row>
    <row r="97" spans="1:3" ht="15">
      <c r="A97"/>
      <c r="B97" s="58"/>
      <c r="C97" s="58"/>
    </row>
    <row r="98" spans="1:3" ht="15">
      <c r="A98"/>
      <c r="B98" s="58"/>
      <c r="C98" s="58"/>
    </row>
    <row r="99" spans="1:3" ht="15">
      <c r="A99"/>
      <c r="B99" s="58"/>
      <c r="C99" s="58"/>
    </row>
    <row r="100" spans="1:3" ht="15">
      <c r="A100"/>
      <c r="B100" s="58"/>
      <c r="C100" s="58"/>
    </row>
    <row r="101" spans="1:3" ht="15">
      <c r="A101"/>
      <c r="B101" s="58"/>
      <c r="C101" s="58"/>
    </row>
    <row r="102" spans="1:3" ht="15">
      <c r="A102"/>
      <c r="B102" s="58"/>
      <c r="C102" s="58"/>
    </row>
    <row r="103" spans="1:3" ht="15">
      <c r="A103"/>
      <c r="B103" s="58"/>
      <c r="C103" s="58"/>
    </row>
    <row r="104" spans="1:3" ht="15">
      <c r="A104"/>
      <c r="B104" s="58"/>
      <c r="C104" s="58"/>
    </row>
    <row r="105" spans="1:3" ht="15">
      <c r="A105"/>
      <c r="B105" s="58"/>
      <c r="C105" s="58"/>
    </row>
    <row r="106" spans="1:3" ht="15">
      <c r="A106"/>
      <c r="B106" s="58"/>
      <c r="C106" s="58"/>
    </row>
    <row r="107" spans="1:3" ht="15">
      <c r="A107"/>
      <c r="B107" s="58"/>
      <c r="C107" s="58"/>
    </row>
    <row r="108" spans="1:3" ht="15">
      <c r="A108"/>
      <c r="B108" s="58"/>
      <c r="C108" s="58"/>
    </row>
    <row r="109" spans="1:3" ht="15">
      <c r="A109"/>
      <c r="B109" s="58"/>
      <c r="C109" s="58"/>
    </row>
    <row r="110" spans="1:3" ht="15">
      <c r="A110"/>
      <c r="B110" s="58"/>
      <c r="C110" s="58"/>
    </row>
    <row r="111" spans="1:3" ht="15">
      <c r="A111"/>
      <c r="B111" s="58"/>
      <c r="C111" s="58"/>
    </row>
    <row r="112" spans="1:3" ht="15">
      <c r="A112"/>
      <c r="B112" s="58"/>
      <c r="C112" s="58"/>
    </row>
    <row r="113" spans="1:3" ht="15">
      <c r="A113"/>
      <c r="B113" s="58"/>
      <c r="C113" s="58"/>
    </row>
    <row r="114" spans="1:3" ht="15">
      <c r="A114"/>
      <c r="B114" s="58"/>
      <c r="C114" s="58"/>
    </row>
    <row r="115" spans="1:3" ht="15">
      <c r="A115"/>
      <c r="B115" s="58"/>
      <c r="C115" s="58"/>
    </row>
    <row r="116" spans="1:3" ht="15">
      <c r="A116"/>
      <c r="B116" s="58"/>
      <c r="C116" s="58"/>
    </row>
    <row r="117" spans="1:3" ht="15">
      <c r="A117"/>
      <c r="B117" s="58"/>
      <c r="C117" s="58"/>
    </row>
    <row r="118" spans="1:3" ht="15">
      <c r="A118"/>
      <c r="B118" s="58"/>
      <c r="C118" s="58"/>
    </row>
    <row r="119" spans="1:3" ht="15">
      <c r="A119"/>
      <c r="B119" s="58"/>
      <c r="C119" s="58"/>
    </row>
    <row r="120" spans="1:3" ht="15">
      <c r="A120"/>
      <c r="B120" s="58"/>
      <c r="C120" s="58"/>
    </row>
    <row r="121" spans="1:3" ht="15">
      <c r="A121"/>
      <c r="B121" s="58"/>
      <c r="C121" s="58"/>
    </row>
    <row r="122" spans="1:3" ht="15">
      <c r="A122"/>
      <c r="B122" s="58"/>
      <c r="C122" s="58"/>
    </row>
    <row r="123" spans="1:3" ht="15">
      <c r="A123"/>
      <c r="B123" s="58"/>
      <c r="C123" s="58"/>
    </row>
    <row r="124" spans="1:3" ht="15">
      <c r="A124"/>
      <c r="B124" s="58"/>
      <c r="C124" s="58"/>
    </row>
    <row r="125" spans="1:3" ht="15">
      <c r="A125"/>
      <c r="B125" s="58"/>
      <c r="C125" s="58"/>
    </row>
    <row r="126" spans="1:3" ht="15">
      <c r="A126"/>
      <c r="B126" s="58"/>
      <c r="C126" s="58"/>
    </row>
    <row r="127" spans="1:3" ht="15">
      <c r="A127"/>
      <c r="B127" s="58"/>
      <c r="C127" s="58"/>
    </row>
    <row r="128" spans="1:3" ht="15">
      <c r="A128"/>
      <c r="B128" s="58"/>
      <c r="C128" s="58"/>
    </row>
    <row r="129" spans="1:3" ht="15">
      <c r="A129"/>
      <c r="B129" s="58"/>
      <c r="C129" s="58"/>
    </row>
    <row r="130" spans="1:3" ht="15">
      <c r="A130"/>
      <c r="B130" s="58"/>
      <c r="C130" s="58"/>
    </row>
    <row r="131" spans="1:3" ht="15">
      <c r="A131"/>
      <c r="B131" s="58"/>
      <c r="C131" s="58"/>
    </row>
    <row r="132" spans="1:3" ht="15">
      <c r="A132"/>
      <c r="B132" s="58"/>
      <c r="C132" s="58"/>
    </row>
    <row r="133" spans="1:3" ht="15">
      <c r="A133"/>
      <c r="B133" s="58"/>
      <c r="C133" s="58"/>
    </row>
    <row r="134" spans="1:3" ht="15">
      <c r="A134"/>
      <c r="B134" s="58"/>
      <c r="C134" s="58"/>
    </row>
    <row r="135" spans="2:3" ht="15">
      <c r="B135" s="58"/>
      <c r="C135" s="58"/>
    </row>
    <row r="136" spans="2:3" ht="15">
      <c r="B136" s="58"/>
      <c r="C136" s="58"/>
    </row>
    <row r="137" spans="2:3" ht="15">
      <c r="B137" s="58"/>
      <c r="C137" s="58"/>
    </row>
    <row r="138" spans="2:3" ht="15">
      <c r="B138" s="58"/>
      <c r="C138" s="58"/>
    </row>
    <row r="139" spans="2:3" ht="15">
      <c r="B139" s="58"/>
      <c r="C139" s="58"/>
    </row>
    <row r="140" spans="2:3" ht="15">
      <c r="B140" s="58"/>
      <c r="C140" s="58"/>
    </row>
    <row r="141" spans="2:3" ht="15">
      <c r="B141" s="58"/>
      <c r="C141" s="58"/>
    </row>
    <row r="142" spans="2:3" ht="15">
      <c r="B142" s="58"/>
      <c r="C142" s="58"/>
    </row>
    <row r="143" spans="2:3" ht="15">
      <c r="B143" s="58"/>
      <c r="C143" s="58"/>
    </row>
    <row r="144" spans="2:3" ht="15">
      <c r="B144" s="58"/>
      <c r="C144" s="58"/>
    </row>
    <row r="145" spans="2:3" ht="15">
      <c r="B145" s="58"/>
      <c r="C145" s="58"/>
    </row>
    <row r="146" spans="2:3" ht="15">
      <c r="B146" s="58"/>
      <c r="C146" s="58"/>
    </row>
    <row r="147" spans="2:3" ht="15">
      <c r="B147" s="58"/>
      <c r="C147" s="58"/>
    </row>
    <row r="148" spans="2:3" ht="15">
      <c r="B148" s="58"/>
      <c r="C148" s="58"/>
    </row>
    <row r="149" spans="2:3" ht="15">
      <c r="B149" s="58"/>
      <c r="C149" s="58"/>
    </row>
    <row r="150" spans="2:3" ht="15">
      <c r="B150" s="58"/>
      <c r="C150" s="58"/>
    </row>
    <row r="151" spans="2:3" ht="15">
      <c r="B151" s="58"/>
      <c r="C151" s="58"/>
    </row>
    <row r="152" spans="2:3" ht="15">
      <c r="B152" s="58"/>
      <c r="C152" s="58"/>
    </row>
    <row r="153" spans="2:3" ht="15">
      <c r="B153" s="58"/>
      <c r="C153" s="58"/>
    </row>
    <row r="154" spans="2:3" ht="15">
      <c r="B154" s="58"/>
      <c r="C154" s="58"/>
    </row>
    <row r="155" spans="2:3" ht="15">
      <c r="B155" s="58"/>
      <c r="C155" s="58"/>
    </row>
    <row r="156" spans="2:3" ht="15">
      <c r="B156" s="58"/>
      <c r="C156" s="58"/>
    </row>
    <row r="157" spans="2:3" ht="15">
      <c r="B157" s="58"/>
      <c r="C157" s="58"/>
    </row>
    <row r="158" spans="2:3" ht="15">
      <c r="B158" s="58"/>
      <c r="C158" s="58"/>
    </row>
    <row r="159" spans="2:3" ht="15">
      <c r="B159" s="58"/>
      <c r="C159" s="58"/>
    </row>
    <row r="160" spans="2:3" ht="15">
      <c r="B160" s="58"/>
      <c r="C160" s="58"/>
    </row>
    <row r="161" spans="2:3" ht="15">
      <c r="B161" s="58"/>
      <c r="C161" s="58"/>
    </row>
    <row r="162" spans="2:3" ht="15">
      <c r="B162" s="58"/>
      <c r="C162" s="58"/>
    </row>
    <row r="163" spans="2:3" ht="15">
      <c r="B163" s="58"/>
      <c r="C163" s="58"/>
    </row>
    <row r="164" spans="2:3" ht="15">
      <c r="B164" s="58"/>
      <c r="C164" s="58"/>
    </row>
    <row r="165" spans="2:3" ht="15">
      <c r="B165" s="58"/>
      <c r="C165" s="58"/>
    </row>
    <row r="166" spans="2:3" ht="15">
      <c r="B166" s="58"/>
      <c r="C166" s="58"/>
    </row>
    <row r="167" spans="2:3" ht="15">
      <c r="B167" s="58"/>
      <c r="C167" s="58"/>
    </row>
    <row r="168" spans="2:3" ht="15">
      <c r="B168" s="58"/>
      <c r="C168" s="58"/>
    </row>
    <row r="169" spans="2:3" ht="15">
      <c r="B169" s="58"/>
      <c r="C169" s="58"/>
    </row>
    <row r="170" spans="2:3" ht="15">
      <c r="B170" s="58"/>
      <c r="C170" s="58"/>
    </row>
    <row r="171" spans="2:3" ht="15">
      <c r="B171" s="58"/>
      <c r="C171" s="58"/>
    </row>
    <row r="172" spans="2:3" ht="15">
      <c r="B172" s="58"/>
      <c r="C172" s="58"/>
    </row>
    <row r="173" spans="2:3" ht="15">
      <c r="B173" s="58"/>
      <c r="C173" s="58"/>
    </row>
    <row r="174" spans="2:3" ht="15">
      <c r="B174" s="58"/>
      <c r="C174" s="58"/>
    </row>
    <row r="175" spans="2:3" ht="15">
      <c r="B175" s="58"/>
      <c r="C175" s="58"/>
    </row>
    <row r="176" spans="2:3" ht="15">
      <c r="B176" s="58"/>
      <c r="C176" s="58"/>
    </row>
    <row r="177" spans="2:3" ht="15">
      <c r="B177" s="58"/>
      <c r="C177" s="58"/>
    </row>
    <row r="178" spans="2:3" ht="15">
      <c r="B178" s="58"/>
      <c r="C178" s="58"/>
    </row>
    <row r="179" spans="2:3" ht="15">
      <c r="B179" s="58"/>
      <c r="C179" s="58"/>
    </row>
    <row r="180" spans="2:3" ht="15">
      <c r="B180" s="58"/>
      <c r="C180" s="58"/>
    </row>
    <row r="181" spans="2:3" ht="15">
      <c r="B181" s="58"/>
      <c r="C181" s="58"/>
    </row>
    <row r="182" spans="2:3" ht="15">
      <c r="B182" s="58"/>
      <c r="C182" s="58"/>
    </row>
    <row r="183" spans="2:3" ht="15">
      <c r="B183" s="58"/>
      <c r="C183" s="58"/>
    </row>
    <row r="184" spans="2:3" ht="15">
      <c r="B184" s="58"/>
      <c r="C184" s="58"/>
    </row>
    <row r="185" spans="2:3" ht="15">
      <c r="B185" s="58"/>
      <c r="C185" s="58"/>
    </row>
    <row r="186" spans="2:3" ht="15">
      <c r="B186" s="58"/>
      <c r="C186" s="58"/>
    </row>
    <row r="187" spans="2:3" ht="15">
      <c r="B187" s="58"/>
      <c r="C187" s="58"/>
    </row>
    <row r="188" spans="2:3" ht="15">
      <c r="B188" s="58"/>
      <c r="C188" s="58"/>
    </row>
    <row r="189" spans="2:3" ht="15">
      <c r="B189" s="58"/>
      <c r="C189" s="58"/>
    </row>
    <row r="190" spans="2:3" ht="15">
      <c r="B190" s="58"/>
      <c r="C190" s="58"/>
    </row>
    <row r="191" spans="2:3" ht="15">
      <c r="B191" s="58"/>
      <c r="C191" s="58"/>
    </row>
    <row r="192" spans="2:3" ht="15">
      <c r="B192" s="58"/>
      <c r="C192" s="58"/>
    </row>
    <row r="193" spans="2:3" ht="15">
      <c r="B193" s="58"/>
      <c r="C193" s="58"/>
    </row>
    <row r="194" spans="2:3" ht="15">
      <c r="B194" s="58"/>
      <c r="C194" s="58"/>
    </row>
    <row r="195" spans="2:3" ht="15">
      <c r="B195" s="58"/>
      <c r="C195" s="58"/>
    </row>
    <row r="196" spans="2:3" ht="15">
      <c r="B196" s="58"/>
      <c r="C196" s="58"/>
    </row>
    <row r="197" spans="2:3" ht="15">
      <c r="B197" s="58"/>
      <c r="C197" s="58"/>
    </row>
    <row r="198" spans="2:3" ht="15">
      <c r="B198" s="58"/>
      <c r="C198" s="58"/>
    </row>
    <row r="199" spans="2:3" ht="15">
      <c r="B199" s="58"/>
      <c r="C199" s="58"/>
    </row>
    <row r="200" spans="2:3" ht="15">
      <c r="B200" s="58"/>
      <c r="C200" s="58"/>
    </row>
    <row r="201" spans="2:3" ht="15">
      <c r="B201" s="58"/>
      <c r="C201" s="58"/>
    </row>
    <row r="202" spans="2:3" ht="15">
      <c r="B202" s="58"/>
      <c r="C202" s="58"/>
    </row>
    <row r="203" spans="2:3" ht="15">
      <c r="B203" s="58"/>
      <c r="C203" s="58"/>
    </row>
    <row r="204" spans="2:3" ht="15">
      <c r="B204" s="58"/>
      <c r="C204" s="58"/>
    </row>
    <row r="205" spans="2:3" ht="15">
      <c r="B205" s="58"/>
      <c r="C205" s="58"/>
    </row>
    <row r="206" spans="2:3" ht="15">
      <c r="B206" s="58"/>
      <c r="C206" s="58"/>
    </row>
    <row r="207" spans="2:3" ht="15">
      <c r="B207" s="58"/>
      <c r="C207" s="58"/>
    </row>
    <row r="208" spans="2:3" ht="15">
      <c r="B208" s="58"/>
      <c r="C208" s="58"/>
    </row>
    <row r="209" spans="2:3" ht="15">
      <c r="B209" s="58"/>
      <c r="C209" s="58"/>
    </row>
    <row r="210" spans="2:3" ht="15">
      <c r="B210" s="58"/>
      <c r="C210" s="58"/>
    </row>
    <row r="211" spans="2:3" ht="15">
      <c r="B211" s="58"/>
      <c r="C211" s="58"/>
    </row>
    <row r="212" spans="2:3" ht="15">
      <c r="B212" s="58"/>
      <c r="C212" s="58"/>
    </row>
    <row r="213" spans="2:3" ht="15">
      <c r="B213" s="58"/>
      <c r="C213" s="58"/>
    </row>
    <row r="214" spans="2:3" ht="15">
      <c r="B214" s="58"/>
      <c r="C214" s="58"/>
    </row>
    <row r="215" spans="2:3" ht="15">
      <c r="B215" s="58"/>
      <c r="C215" s="58"/>
    </row>
    <row r="216" spans="2:3" ht="15">
      <c r="B216" s="58"/>
      <c r="C216" s="58"/>
    </row>
    <row r="217" spans="2:3" ht="15">
      <c r="B217" s="58"/>
      <c r="C217" s="58"/>
    </row>
    <row r="218" spans="2:3" ht="15">
      <c r="B218" s="58"/>
      <c r="C218" s="58"/>
    </row>
    <row r="219" spans="2:3" ht="15">
      <c r="B219" s="58"/>
      <c r="C219" s="58"/>
    </row>
    <row r="220" spans="2:3" ht="15">
      <c r="B220" s="58"/>
      <c r="C220" s="58"/>
    </row>
    <row r="221" spans="2:3" ht="15">
      <c r="B221" s="58"/>
      <c r="C221" s="58"/>
    </row>
    <row r="222" spans="2:3" ht="15">
      <c r="B222" s="58"/>
      <c r="C222" s="58"/>
    </row>
    <row r="223" spans="2:3" ht="15">
      <c r="B223" s="58"/>
      <c r="C223" s="58"/>
    </row>
    <row r="224" spans="2:3" ht="15">
      <c r="B224" s="58"/>
      <c r="C224" s="58"/>
    </row>
    <row r="225" spans="2:3" ht="15">
      <c r="B225" s="58"/>
      <c r="C225" s="58"/>
    </row>
    <row r="226" spans="2:3" ht="15">
      <c r="B226" s="58"/>
      <c r="C226" s="58"/>
    </row>
    <row r="227" spans="2:3" ht="15">
      <c r="B227" s="58"/>
      <c r="C227" s="58"/>
    </row>
    <row r="228" spans="2:3" ht="15">
      <c r="B228" s="58"/>
      <c r="C228" s="58"/>
    </row>
    <row r="229" spans="2:3" ht="15">
      <c r="B229" s="58"/>
      <c r="C229" s="58"/>
    </row>
    <row r="230" spans="2:3" ht="15">
      <c r="B230" s="58"/>
      <c r="C230" s="58"/>
    </row>
    <row r="231" spans="2:3" ht="15">
      <c r="B231" s="58"/>
      <c r="C231" s="58"/>
    </row>
    <row r="232" spans="2:3" ht="15">
      <c r="B232" s="58"/>
      <c r="C232" s="58"/>
    </row>
    <row r="233" spans="2:3" ht="15">
      <c r="B233" s="58"/>
      <c r="C233" s="58"/>
    </row>
    <row r="234" spans="2:3" ht="15">
      <c r="B234" s="58"/>
      <c r="C234" s="58"/>
    </row>
    <row r="235" spans="2:3" ht="15">
      <c r="B235" s="58"/>
      <c r="C235" s="58"/>
    </row>
    <row r="236" spans="2:3" ht="15">
      <c r="B236" s="58"/>
      <c r="C236" s="58"/>
    </row>
    <row r="237" spans="2:3" ht="15">
      <c r="B237" s="58"/>
      <c r="C237" s="58"/>
    </row>
    <row r="238" spans="2:3" ht="15">
      <c r="B238" s="58"/>
      <c r="C238" s="58"/>
    </row>
    <row r="239" spans="2:3" ht="15">
      <c r="B239" s="58"/>
      <c r="C239" s="58"/>
    </row>
    <row r="240" spans="2:3" ht="15">
      <c r="B240" s="58"/>
      <c r="C240" s="58"/>
    </row>
    <row r="241" spans="2:3" ht="15">
      <c r="B241" s="58"/>
      <c r="C241" s="58"/>
    </row>
    <row r="242" spans="2:3" ht="15">
      <c r="B242" s="58"/>
      <c r="C242" s="58"/>
    </row>
    <row r="243" spans="2:3" ht="15">
      <c r="B243" s="58"/>
      <c r="C243" s="58"/>
    </row>
    <row r="244" spans="2:3" ht="15">
      <c r="B244" s="58"/>
      <c r="C244" s="58"/>
    </row>
    <row r="245" spans="2:3" ht="15">
      <c r="B245" s="58"/>
      <c r="C245" s="58"/>
    </row>
    <row r="246" spans="2:3" ht="15">
      <c r="B246" s="58"/>
      <c r="C246" s="58"/>
    </row>
    <row r="247" spans="2:3" ht="15">
      <c r="B247" s="58"/>
      <c r="C247" s="58"/>
    </row>
    <row r="248" spans="2:3" ht="15">
      <c r="B248" s="58"/>
      <c r="C248" s="58"/>
    </row>
    <row r="249" spans="2:3" ht="15">
      <c r="B249" s="58"/>
      <c r="C249" s="58"/>
    </row>
    <row r="250" spans="2:3" ht="15">
      <c r="B250" s="58"/>
      <c r="C250" s="58"/>
    </row>
    <row r="251" spans="2:3" ht="15">
      <c r="B251" s="58"/>
      <c r="C251" s="58"/>
    </row>
    <row r="252" spans="2:3" ht="15">
      <c r="B252" s="58"/>
      <c r="C252" s="58"/>
    </row>
    <row r="253" spans="2:3" ht="15">
      <c r="B253" s="58"/>
      <c r="C253" s="58"/>
    </row>
    <row r="254" spans="2:3" ht="15">
      <c r="B254" s="58"/>
      <c r="C254" s="58"/>
    </row>
    <row r="255" spans="2:3" ht="15">
      <c r="B255" s="58"/>
      <c r="C255" s="58"/>
    </row>
    <row r="256" spans="2:3" ht="15">
      <c r="B256" s="58"/>
      <c r="C256" s="58"/>
    </row>
    <row r="257" spans="2:3" ht="15">
      <c r="B257" s="58"/>
      <c r="C257" s="58"/>
    </row>
    <row r="258" spans="2:3" ht="15">
      <c r="B258" s="58"/>
      <c r="C258" s="58"/>
    </row>
    <row r="259" spans="2:3" ht="15">
      <c r="B259" s="58"/>
      <c r="C259" s="58"/>
    </row>
    <row r="260" spans="2:3" ht="15">
      <c r="B260" s="58"/>
      <c r="C260" s="58"/>
    </row>
    <row r="261" spans="2:3" ht="15">
      <c r="B261" s="58"/>
      <c r="C261" s="58"/>
    </row>
    <row r="262" spans="2:3" ht="15">
      <c r="B262" s="58"/>
      <c r="C262" s="58"/>
    </row>
    <row r="263" spans="2:3" ht="15">
      <c r="B263" s="58"/>
      <c r="C263" s="58"/>
    </row>
    <row r="264" spans="2:3" ht="15">
      <c r="B264" s="58"/>
      <c r="C264" s="58"/>
    </row>
    <row r="265" spans="2:3" ht="15">
      <c r="B265" s="58"/>
      <c r="C265" s="58"/>
    </row>
    <row r="266" spans="2:3" ht="15">
      <c r="B266" s="58"/>
      <c r="C266" s="58"/>
    </row>
    <row r="267" spans="2:3" ht="15">
      <c r="B267" s="58"/>
      <c r="C267" s="58"/>
    </row>
    <row r="268" spans="2:3" ht="15">
      <c r="B268" s="58"/>
      <c r="C268" s="58"/>
    </row>
    <row r="269" spans="2:3" ht="15">
      <c r="B269" s="58"/>
      <c r="C269" s="58"/>
    </row>
    <row r="270" spans="2:3" ht="15">
      <c r="B270" s="58"/>
      <c r="C270" s="58"/>
    </row>
    <row r="271" spans="2:3" ht="15">
      <c r="B271" s="58"/>
      <c r="C271" s="58"/>
    </row>
    <row r="272" spans="2:3" ht="15">
      <c r="B272" s="58"/>
      <c r="C272" s="58"/>
    </row>
    <row r="273" spans="2:3" ht="15">
      <c r="B273" s="58"/>
      <c r="C273" s="58"/>
    </row>
    <row r="274" spans="2:3" ht="15">
      <c r="B274" s="58"/>
      <c r="C274" s="58"/>
    </row>
    <row r="275" spans="2:3" ht="15">
      <c r="B275" s="58"/>
      <c r="C275" s="58"/>
    </row>
    <row r="276" spans="2:3" ht="15">
      <c r="B276" s="58"/>
      <c r="C276" s="58"/>
    </row>
    <row r="277" spans="2:3" ht="15">
      <c r="B277" s="58"/>
      <c r="C277" s="58"/>
    </row>
    <row r="278" spans="2:3" ht="15">
      <c r="B278" s="58"/>
      <c r="C278" s="58"/>
    </row>
    <row r="279" spans="2:3" ht="15">
      <c r="B279" s="58"/>
      <c r="C279" s="58"/>
    </row>
    <row r="280" spans="2:3" ht="15">
      <c r="B280" s="58"/>
      <c r="C280" s="58"/>
    </row>
    <row r="281" spans="2:3" ht="15">
      <c r="B281" s="58"/>
      <c r="C281" s="58"/>
    </row>
    <row r="282" spans="2:3" ht="15">
      <c r="B282" s="58"/>
      <c r="C282" s="58"/>
    </row>
    <row r="283" spans="2:3" ht="15">
      <c r="B283" s="58"/>
      <c r="C283" s="58"/>
    </row>
    <row r="284" spans="2:3" ht="15">
      <c r="B284" s="58"/>
      <c r="C284" s="58"/>
    </row>
    <row r="285" spans="2:3" ht="15">
      <c r="B285" s="58"/>
      <c r="C285" s="58"/>
    </row>
    <row r="286" spans="2:3" ht="15">
      <c r="B286" s="58"/>
      <c r="C286" s="58"/>
    </row>
    <row r="287" spans="2:3" ht="15">
      <c r="B287" s="58"/>
      <c r="C287" s="58"/>
    </row>
    <row r="288" spans="2:3" ht="15">
      <c r="B288" s="58"/>
      <c r="C288" s="58"/>
    </row>
    <row r="289" spans="2:3" ht="15">
      <c r="B289" s="58"/>
      <c r="C289" s="58"/>
    </row>
    <row r="290" spans="2:3" ht="15">
      <c r="B290" s="58"/>
      <c r="C290" s="58"/>
    </row>
    <row r="291" spans="2:3" ht="15">
      <c r="B291" s="58"/>
      <c r="C291" s="58"/>
    </row>
    <row r="292" spans="2:3" ht="15">
      <c r="B292" s="58"/>
      <c r="C292" s="58"/>
    </row>
    <row r="293" spans="2:3" ht="15">
      <c r="B293" s="58"/>
      <c r="C293" s="58"/>
    </row>
    <row r="294" spans="2:3" ht="15">
      <c r="B294" s="58"/>
      <c r="C294" s="58"/>
    </row>
    <row r="295" spans="2:3" ht="15">
      <c r="B295" s="58"/>
      <c r="C295" s="58"/>
    </row>
    <row r="296" spans="2:3" ht="15">
      <c r="B296" s="58"/>
      <c r="C296" s="58"/>
    </row>
    <row r="297" spans="2:3" ht="15">
      <c r="B297" s="58"/>
      <c r="C297" s="58"/>
    </row>
    <row r="298" spans="2:3" ht="15">
      <c r="B298" s="58"/>
      <c r="C298" s="58"/>
    </row>
    <row r="299" spans="2:3" ht="15">
      <c r="B299" s="58"/>
      <c r="C299" s="58"/>
    </row>
    <row r="300" spans="2:3" ht="15">
      <c r="B300" s="58"/>
      <c r="C300" s="58"/>
    </row>
    <row r="301" spans="2:3" ht="15">
      <c r="B301" s="58"/>
      <c r="C301" s="58"/>
    </row>
    <row r="302" spans="2:3" ht="15">
      <c r="B302" s="58"/>
      <c r="C302" s="58"/>
    </row>
    <row r="303" spans="2:3" ht="15">
      <c r="B303" s="58"/>
      <c r="C303" s="58"/>
    </row>
    <row r="304" spans="2:3" ht="15">
      <c r="B304" s="58"/>
      <c r="C304" s="58"/>
    </row>
    <row r="305" spans="2:3" ht="15">
      <c r="B305" s="58"/>
      <c r="C305" s="58"/>
    </row>
    <row r="306" spans="2:3" ht="15">
      <c r="B306" s="58"/>
      <c r="C306" s="58"/>
    </row>
    <row r="307" spans="2:3" ht="15">
      <c r="B307" s="58"/>
      <c r="C307" s="58"/>
    </row>
    <row r="308" spans="2:3" ht="15">
      <c r="B308" s="58"/>
      <c r="C308" s="58"/>
    </row>
    <row r="309" spans="2:3" ht="15">
      <c r="B309" s="58"/>
      <c r="C309" s="58"/>
    </row>
    <row r="310" spans="2:3" ht="15">
      <c r="B310" s="58"/>
      <c r="C310" s="58"/>
    </row>
    <row r="311" spans="2:3" ht="15">
      <c r="B311" s="58"/>
      <c r="C311" s="58"/>
    </row>
    <row r="312" spans="2:3" ht="15">
      <c r="B312" s="58"/>
      <c r="C312" s="58"/>
    </row>
    <row r="313" spans="2:3" ht="15">
      <c r="B313" s="58"/>
      <c r="C313" s="58"/>
    </row>
    <row r="314" spans="2:3" ht="15">
      <c r="B314" s="58"/>
      <c r="C314" s="58"/>
    </row>
    <row r="315" spans="2:3" ht="15">
      <c r="B315" s="58"/>
      <c r="C315" s="58"/>
    </row>
    <row r="316" spans="2:3" ht="15">
      <c r="B316" s="58"/>
      <c r="C316" s="58"/>
    </row>
    <row r="317" spans="2:3" ht="15">
      <c r="B317" s="58"/>
      <c r="C317" s="58"/>
    </row>
    <row r="318" spans="2:3" ht="15">
      <c r="B318" s="58"/>
      <c r="C318" s="58"/>
    </row>
    <row r="319" spans="2:3" ht="15">
      <c r="B319" s="58"/>
      <c r="C319" s="58"/>
    </row>
    <row r="320" spans="2:3" ht="15">
      <c r="B320" s="58"/>
      <c r="C320" s="58"/>
    </row>
    <row r="321" spans="2:3" ht="15">
      <c r="B321" s="58"/>
      <c r="C321" s="58"/>
    </row>
    <row r="322" spans="2:3" ht="15">
      <c r="B322" s="58"/>
      <c r="C322" s="58"/>
    </row>
    <row r="323" spans="2:3" ht="15">
      <c r="B323" s="58"/>
      <c r="C323" s="58"/>
    </row>
    <row r="324" spans="2:3" ht="15">
      <c r="B324" s="58"/>
      <c r="C324" s="58"/>
    </row>
    <row r="325" spans="2:3" ht="15">
      <c r="B325" s="58"/>
      <c r="C325" s="58"/>
    </row>
    <row r="326" spans="2:3" ht="15">
      <c r="B326" s="58"/>
      <c r="C326" s="58"/>
    </row>
    <row r="327" spans="2:3" ht="15">
      <c r="B327" s="58"/>
      <c r="C327" s="58"/>
    </row>
    <row r="328" spans="2:3" ht="15">
      <c r="B328" s="58"/>
      <c r="C328" s="58"/>
    </row>
    <row r="329" spans="2:3" ht="15">
      <c r="B329" s="58"/>
      <c r="C329" s="58"/>
    </row>
    <row r="330" spans="2:3" ht="15">
      <c r="B330" s="58"/>
      <c r="C330" s="58"/>
    </row>
    <row r="331" spans="2:3" ht="15">
      <c r="B331" s="58"/>
      <c r="C331" s="58"/>
    </row>
    <row r="332" spans="2:3" ht="15">
      <c r="B332" s="58"/>
      <c r="C332" s="58"/>
    </row>
    <row r="333" spans="2:3" ht="15">
      <c r="B333" s="58"/>
      <c r="C333" s="58"/>
    </row>
    <row r="334" spans="2:3" ht="15">
      <c r="B334" s="58"/>
      <c r="C334" s="58"/>
    </row>
    <row r="335" spans="2:3" ht="15">
      <c r="B335" s="58"/>
      <c r="C335" s="58"/>
    </row>
    <row r="336" spans="2:3" ht="15">
      <c r="B336" s="58"/>
      <c r="C336" s="58"/>
    </row>
    <row r="337" spans="2:3" ht="15">
      <c r="B337" s="58"/>
      <c r="C337" s="58"/>
    </row>
    <row r="338" spans="2:3" ht="15">
      <c r="B338" s="58"/>
      <c r="C338" s="58"/>
    </row>
    <row r="339" spans="2:3" ht="15">
      <c r="B339" s="58"/>
      <c r="C339" s="58"/>
    </row>
    <row r="340" spans="2:3" ht="15">
      <c r="B340" s="58"/>
      <c r="C340" s="58"/>
    </row>
    <row r="341" spans="2:3" ht="15">
      <c r="B341" s="58"/>
      <c r="C341" s="58"/>
    </row>
    <row r="342" spans="2:3" ht="15">
      <c r="B342" s="58"/>
      <c r="C342" s="58"/>
    </row>
    <row r="343" spans="2:3" ht="15">
      <c r="B343" s="58"/>
      <c r="C343" s="58"/>
    </row>
    <row r="344" spans="2:3" ht="15">
      <c r="B344" s="58"/>
      <c r="C344" s="58"/>
    </row>
    <row r="345" spans="2:3" ht="15">
      <c r="B345" s="58"/>
      <c r="C345" s="58"/>
    </row>
    <row r="346" spans="2:3" ht="15">
      <c r="B346" s="58"/>
      <c r="C346" s="58"/>
    </row>
    <row r="347" spans="2:3" ht="15">
      <c r="B347" s="58"/>
      <c r="C347" s="58"/>
    </row>
    <row r="348" spans="2:3" ht="15">
      <c r="B348" s="58"/>
      <c r="C348" s="58"/>
    </row>
    <row r="349" spans="2:3" ht="15">
      <c r="B349" s="58"/>
      <c r="C349" s="58"/>
    </row>
    <row r="350" spans="2:3" ht="15">
      <c r="B350" s="58"/>
      <c r="C350" s="58"/>
    </row>
    <row r="351" spans="2:3" ht="15">
      <c r="B351" s="58"/>
      <c r="C351" s="58"/>
    </row>
    <row r="352" spans="2:3" ht="15">
      <c r="B352" s="58"/>
      <c r="C352" s="58"/>
    </row>
    <row r="353" spans="2:3" ht="15">
      <c r="B353" s="58"/>
      <c r="C353" s="58"/>
    </row>
    <row r="354" spans="2:3" ht="15">
      <c r="B354" s="58"/>
      <c r="C354" s="58"/>
    </row>
    <row r="355" spans="2:3" ht="15">
      <c r="B355" s="58"/>
      <c r="C355" s="58"/>
    </row>
    <row r="356" spans="2:3" ht="15">
      <c r="B356" s="58"/>
      <c r="C356" s="58"/>
    </row>
    <row r="357" spans="2:3" ht="15">
      <c r="B357" s="58"/>
      <c r="C357" s="58"/>
    </row>
    <row r="358" spans="2:3" ht="15">
      <c r="B358" s="58"/>
      <c r="C358" s="58"/>
    </row>
    <row r="359" spans="2:3" ht="15">
      <c r="B359" s="58"/>
      <c r="C359" s="58"/>
    </row>
    <row r="360" spans="2:3" ht="15">
      <c r="B360" s="58"/>
      <c r="C360" s="58"/>
    </row>
    <row r="361" spans="2:3" ht="15">
      <c r="B361" s="58"/>
      <c r="C361" s="58"/>
    </row>
    <row r="362" spans="2:3" ht="15">
      <c r="B362" s="58"/>
      <c r="C362" s="58"/>
    </row>
    <row r="363" spans="2:3" ht="15">
      <c r="B363" s="58"/>
      <c r="C363" s="58"/>
    </row>
    <row r="364" spans="2:3" ht="15">
      <c r="B364" s="58"/>
      <c r="C364" s="58"/>
    </row>
    <row r="365" spans="2:3" ht="15">
      <c r="B365" s="58"/>
      <c r="C365" s="58"/>
    </row>
    <row r="366" spans="2:3" ht="15">
      <c r="B366" s="58"/>
      <c r="C366" s="58"/>
    </row>
    <row r="367" spans="2:3" ht="15">
      <c r="B367" s="58"/>
      <c r="C367" s="58"/>
    </row>
    <row r="368" spans="2:3" ht="15">
      <c r="B368" s="58"/>
      <c r="C368" s="58"/>
    </row>
    <row r="369" spans="2:3" ht="15">
      <c r="B369" s="58"/>
      <c r="C369" s="58"/>
    </row>
    <row r="370" spans="2:3" ht="15">
      <c r="B370" s="58"/>
      <c r="C370" s="58"/>
    </row>
    <row r="371" spans="2:3" ht="15">
      <c r="B371" s="58"/>
      <c r="C371" s="58"/>
    </row>
    <row r="372" spans="2:3" ht="15">
      <c r="B372" s="58"/>
      <c r="C372" s="58"/>
    </row>
    <row r="373" spans="2:3" ht="15">
      <c r="B373" s="58"/>
      <c r="C373" s="58"/>
    </row>
    <row r="374" spans="2:3" ht="15">
      <c r="B374" s="58"/>
      <c r="C374" s="58"/>
    </row>
    <row r="375" spans="2:3" ht="15">
      <c r="B375" s="58"/>
      <c r="C375" s="58"/>
    </row>
    <row r="376" spans="2:3" ht="15">
      <c r="B376" s="58"/>
      <c r="C376" s="58"/>
    </row>
    <row r="377" spans="2:3" ht="15">
      <c r="B377" s="58"/>
      <c r="C377" s="58"/>
    </row>
    <row r="378" spans="2:3" ht="15">
      <c r="B378" s="58"/>
      <c r="C378" s="58"/>
    </row>
    <row r="379" spans="2:3" ht="15">
      <c r="B379" s="58"/>
      <c r="C379" s="58"/>
    </row>
    <row r="380" spans="2:3" ht="15">
      <c r="B380" s="58"/>
      <c r="C380" s="58"/>
    </row>
    <row r="381" spans="2:3" ht="15">
      <c r="B381" s="58"/>
      <c r="C381" s="58"/>
    </row>
    <row r="382" spans="2:3" ht="15">
      <c r="B382" s="58"/>
      <c r="C382" s="58"/>
    </row>
    <row r="383" spans="2:3" ht="15">
      <c r="B383" s="58"/>
      <c r="C383" s="58"/>
    </row>
    <row r="384" spans="2:3" ht="15">
      <c r="B384" s="58"/>
      <c r="C384" s="58"/>
    </row>
    <row r="385" spans="2:3" ht="15">
      <c r="B385" s="58"/>
      <c r="C385" s="58"/>
    </row>
    <row r="386" spans="2:3" ht="15">
      <c r="B386" s="58"/>
      <c r="C386" s="58"/>
    </row>
    <row r="387" spans="2:3" ht="15">
      <c r="B387" s="58"/>
      <c r="C387" s="58"/>
    </row>
    <row r="388" spans="2:3" ht="15">
      <c r="B388" s="58"/>
      <c r="C388" s="58"/>
    </row>
    <row r="389" spans="2:3" ht="15">
      <c r="B389" s="58"/>
      <c r="C389" s="58"/>
    </row>
    <row r="390" spans="2:3" ht="15">
      <c r="B390" s="58"/>
      <c r="C390" s="58"/>
    </row>
    <row r="391" spans="2:3" ht="15">
      <c r="B391" s="58"/>
      <c r="C391" s="58"/>
    </row>
    <row r="392" spans="2:3" ht="15">
      <c r="B392" s="58"/>
      <c r="C392" s="58"/>
    </row>
    <row r="393" spans="2:3" ht="15">
      <c r="B393" s="58"/>
      <c r="C393" s="58"/>
    </row>
    <row r="394" spans="2:3" ht="15">
      <c r="B394" s="58"/>
      <c r="C394" s="58"/>
    </row>
    <row r="395" spans="2:3" ht="15">
      <c r="B395" s="58"/>
      <c r="C395" s="58"/>
    </row>
    <row r="396" spans="2:3" ht="15">
      <c r="B396" s="58"/>
      <c r="C396" s="58"/>
    </row>
    <row r="397" spans="2:3" ht="15">
      <c r="B397" s="58"/>
      <c r="C397" s="58"/>
    </row>
    <row r="398" spans="2:3" ht="15">
      <c r="B398" s="58"/>
      <c r="C398" s="58"/>
    </row>
    <row r="399" spans="2:3" ht="15">
      <c r="B399" s="58"/>
      <c r="C399" s="58"/>
    </row>
    <row r="400" spans="2:3" ht="15">
      <c r="B400" s="58"/>
      <c r="C400" s="58"/>
    </row>
    <row r="401" spans="2:3" ht="15">
      <c r="B401" s="58"/>
      <c r="C401" s="58"/>
    </row>
    <row r="402" spans="2:3" ht="15">
      <c r="B402" s="58"/>
      <c r="C402" s="58"/>
    </row>
    <row r="403" spans="2:3" ht="15">
      <c r="B403" s="58"/>
      <c r="C403" s="58"/>
    </row>
    <row r="404" spans="2:3" ht="15">
      <c r="B404" s="58"/>
      <c r="C404" s="58"/>
    </row>
    <row r="405" spans="2:3" ht="15">
      <c r="B405" s="58"/>
      <c r="C405" s="58"/>
    </row>
    <row r="406" spans="2:3" ht="15">
      <c r="B406" s="58"/>
      <c r="C406" s="58"/>
    </row>
    <row r="407" spans="2:3" ht="15">
      <c r="B407" s="58"/>
      <c r="C407" s="58"/>
    </row>
    <row r="408" spans="2:3" ht="15">
      <c r="B408" s="58"/>
      <c r="C408" s="58"/>
    </row>
    <row r="409" spans="2:3" ht="15">
      <c r="B409" s="58"/>
      <c r="C409" s="58"/>
    </row>
    <row r="410" spans="2:3" ht="15">
      <c r="B410" s="58"/>
      <c r="C410" s="58"/>
    </row>
    <row r="411" spans="2:3" ht="15">
      <c r="B411" s="58"/>
      <c r="C411" s="58"/>
    </row>
    <row r="412" spans="2:3" ht="15">
      <c r="B412" s="58"/>
      <c r="C412" s="58"/>
    </row>
    <row r="413" spans="2:3" ht="15">
      <c r="B413" s="58"/>
      <c r="C413" s="58"/>
    </row>
    <row r="414" spans="2:3" ht="15">
      <c r="B414" s="58"/>
      <c r="C414" s="58"/>
    </row>
    <row r="415" spans="2:3" ht="15">
      <c r="B415" s="58"/>
      <c r="C415" s="58"/>
    </row>
    <row r="416" spans="2:3" ht="15">
      <c r="B416" s="58"/>
      <c r="C416" s="58"/>
    </row>
    <row r="417" spans="2:3" ht="15">
      <c r="B417" s="58"/>
      <c r="C417" s="58"/>
    </row>
    <row r="418" spans="2:3" ht="15">
      <c r="B418" s="58"/>
      <c r="C418" s="58"/>
    </row>
    <row r="419" spans="2:3" ht="15">
      <c r="B419" s="58"/>
      <c r="C419" s="58"/>
    </row>
    <row r="420" spans="2:3" ht="15">
      <c r="B420" s="58"/>
      <c r="C420" s="58"/>
    </row>
    <row r="421" spans="2:3" ht="15">
      <c r="B421" s="58"/>
      <c r="C421" s="58"/>
    </row>
    <row r="422" spans="2:3" ht="15">
      <c r="B422" s="58"/>
      <c r="C422" s="58"/>
    </row>
    <row r="423" spans="2:3" ht="15">
      <c r="B423" s="58"/>
      <c r="C423" s="58"/>
    </row>
    <row r="424" spans="2:3" ht="15">
      <c r="B424" s="58"/>
      <c r="C424" s="58"/>
    </row>
    <row r="425" spans="2:3" ht="15">
      <c r="B425" s="58"/>
      <c r="C425" s="58"/>
    </row>
    <row r="426" spans="2:3" ht="15">
      <c r="B426" s="58"/>
      <c r="C426" s="58"/>
    </row>
    <row r="427" spans="2:3" ht="15">
      <c r="B427" s="58"/>
      <c r="C427" s="58"/>
    </row>
    <row r="428" spans="2:3" ht="15">
      <c r="B428" s="58"/>
      <c r="C428" s="58"/>
    </row>
    <row r="429" spans="2:3" ht="15">
      <c r="B429" s="58"/>
      <c r="C429" s="58"/>
    </row>
    <row r="430" spans="2:3" ht="15">
      <c r="B430" s="58"/>
      <c r="C430" s="58"/>
    </row>
    <row r="431" spans="2:3" ht="15">
      <c r="B431" s="58"/>
      <c r="C431" s="58"/>
    </row>
    <row r="432" spans="2:3" ht="15">
      <c r="B432" s="58"/>
      <c r="C432" s="58"/>
    </row>
    <row r="433" spans="2:3" ht="15">
      <c r="B433" s="58"/>
      <c r="C433" s="58"/>
    </row>
    <row r="434" spans="2:3" ht="15">
      <c r="B434" s="58"/>
      <c r="C434" s="58"/>
    </row>
    <row r="435" spans="2:3" ht="15">
      <c r="B435" s="58"/>
      <c r="C435" s="58"/>
    </row>
    <row r="436" spans="2:3" ht="15">
      <c r="B436" s="58"/>
      <c r="C436" s="58"/>
    </row>
    <row r="437" spans="2:3" ht="15">
      <c r="B437" s="58"/>
      <c r="C437" s="58"/>
    </row>
    <row r="438" spans="2:3" ht="15">
      <c r="B438" s="58"/>
      <c r="C438" s="58"/>
    </row>
    <row r="439" spans="2:3" ht="15">
      <c r="B439" s="58"/>
      <c r="C439" s="58"/>
    </row>
    <row r="440" spans="2:3" ht="15">
      <c r="B440" s="58"/>
      <c r="C440" s="58"/>
    </row>
    <row r="441" spans="2:3" ht="15">
      <c r="B441" s="58"/>
      <c r="C441" s="58"/>
    </row>
    <row r="442" spans="2:3" ht="15">
      <c r="B442" s="58"/>
      <c r="C442" s="58"/>
    </row>
    <row r="443" spans="2:3" ht="15">
      <c r="B443" s="58"/>
      <c r="C443" s="58"/>
    </row>
    <row r="444" spans="2:3" ht="15">
      <c r="B444" s="58"/>
      <c r="C444" s="58"/>
    </row>
    <row r="445" spans="2:3" ht="15">
      <c r="B445" s="58"/>
      <c r="C445" s="58"/>
    </row>
    <row r="446" spans="2:3" ht="15">
      <c r="B446" s="58"/>
      <c r="C446" s="58"/>
    </row>
    <row r="447" spans="2:3" ht="15">
      <c r="B447" s="58"/>
      <c r="C447" s="58"/>
    </row>
    <row r="448" spans="2:3" ht="15">
      <c r="B448" s="58"/>
      <c r="C448" s="58"/>
    </row>
    <row r="449" spans="2:3" ht="15">
      <c r="B449" s="58"/>
      <c r="C449" s="58"/>
    </row>
    <row r="450" spans="2:3" ht="15">
      <c r="B450" s="58"/>
      <c r="C450" s="58"/>
    </row>
    <row r="451" spans="2:3" ht="15">
      <c r="B451" s="58"/>
      <c r="C451" s="58"/>
    </row>
    <row r="452" spans="2:3" ht="15">
      <c r="B452" s="58"/>
      <c r="C452" s="58"/>
    </row>
    <row r="453" spans="2:3" ht="15">
      <c r="B453" s="58"/>
      <c r="C453" s="58"/>
    </row>
    <row r="454" spans="2:3" ht="15">
      <c r="B454" s="58"/>
      <c r="C454" s="58"/>
    </row>
    <row r="455" spans="2:3" ht="15">
      <c r="B455" s="58"/>
      <c r="C455" s="58"/>
    </row>
    <row r="456" spans="2:3" ht="15">
      <c r="B456" s="58"/>
      <c r="C456" s="58"/>
    </row>
    <row r="457" spans="2:3" ht="15">
      <c r="B457" s="58"/>
      <c r="C457" s="58"/>
    </row>
    <row r="458" spans="2:3" ht="15">
      <c r="B458" s="58"/>
      <c r="C458" s="58"/>
    </row>
    <row r="459" spans="2:3" ht="15">
      <c r="B459" s="58"/>
      <c r="C459" s="58"/>
    </row>
    <row r="460" spans="2:3" ht="15">
      <c r="B460" s="58"/>
      <c r="C460" s="58"/>
    </row>
    <row r="461" spans="2:3" ht="15">
      <c r="B461" s="58"/>
      <c r="C461" s="58"/>
    </row>
    <row r="462" spans="2:3" ht="15">
      <c r="B462" s="58"/>
      <c r="C462" s="58"/>
    </row>
    <row r="463" spans="2:3" ht="15">
      <c r="B463" s="58"/>
      <c r="C463" s="58"/>
    </row>
    <row r="464" spans="2:3" ht="15">
      <c r="B464" s="58"/>
      <c r="C464" s="58"/>
    </row>
    <row r="465" spans="2:3" ht="15">
      <c r="B465" s="58"/>
      <c r="C465" s="58"/>
    </row>
    <row r="466" spans="2:3" ht="15">
      <c r="B466" s="58"/>
      <c r="C466" s="58"/>
    </row>
    <row r="467" spans="2:3" ht="15">
      <c r="B467" s="58"/>
      <c r="C467" s="58"/>
    </row>
    <row r="468" spans="2:3" ht="15">
      <c r="B468" s="58"/>
      <c r="C468" s="58"/>
    </row>
    <row r="469" spans="2:3" ht="15">
      <c r="B469" s="58"/>
      <c r="C469" s="58"/>
    </row>
    <row r="470" spans="2:3" ht="15">
      <c r="B470" s="58"/>
      <c r="C470" s="58"/>
    </row>
    <row r="471" spans="2:3" ht="15">
      <c r="B471" s="58"/>
      <c r="C471" s="58"/>
    </row>
    <row r="472" spans="2:3" ht="15">
      <c r="B472" s="58"/>
      <c r="C472" s="58"/>
    </row>
    <row r="473" spans="2:3" ht="15">
      <c r="B473" s="58"/>
      <c r="C473" s="58"/>
    </row>
    <row r="474" spans="2:3" ht="15">
      <c r="B474" s="58"/>
      <c r="C474" s="58"/>
    </row>
    <row r="475" spans="2:3" ht="15">
      <c r="B475" s="58"/>
      <c r="C475" s="58"/>
    </row>
    <row r="476" spans="2:3" ht="15">
      <c r="B476" s="58"/>
      <c r="C476" s="58"/>
    </row>
    <row r="477" spans="2:3" ht="15">
      <c r="B477" s="58"/>
      <c r="C477" s="58"/>
    </row>
    <row r="478" spans="2:3" ht="15">
      <c r="B478" s="58"/>
      <c r="C478" s="58"/>
    </row>
    <row r="479" spans="2:3" ht="15">
      <c r="B479" s="58"/>
      <c r="C479" s="58"/>
    </row>
    <row r="480" spans="2:3" ht="15">
      <c r="B480" s="58"/>
      <c r="C480" s="58"/>
    </row>
    <row r="481" spans="2:3" ht="15">
      <c r="B481" s="58"/>
      <c r="C481" s="58"/>
    </row>
    <row r="482" spans="2:3" ht="15">
      <c r="B482" s="58"/>
      <c r="C482" s="58"/>
    </row>
    <row r="483" spans="2:3" ht="15">
      <c r="B483" s="58"/>
      <c r="C483" s="58"/>
    </row>
    <row r="484" spans="2:3" ht="15">
      <c r="B484" s="58"/>
      <c r="C484" s="58"/>
    </row>
    <row r="485" spans="2:3" ht="15">
      <c r="B485" s="58"/>
      <c r="C485" s="58"/>
    </row>
    <row r="486" spans="2:3" ht="15">
      <c r="B486" s="58"/>
      <c r="C486" s="58"/>
    </row>
    <row r="487" spans="2:3" ht="15">
      <c r="B487" s="58"/>
      <c r="C487" s="58"/>
    </row>
    <row r="488" spans="2:3" ht="15">
      <c r="B488" s="58"/>
      <c r="C488" s="58"/>
    </row>
    <row r="489" spans="2:3" ht="15">
      <c r="B489" s="58"/>
      <c r="C489" s="58"/>
    </row>
    <row r="490" spans="2:3" ht="15">
      <c r="B490" s="58"/>
      <c r="C490" s="58"/>
    </row>
    <row r="491" spans="2:3" ht="15">
      <c r="B491" s="58"/>
      <c r="C491" s="58"/>
    </row>
    <row r="492" spans="2:3" ht="15">
      <c r="B492" s="58"/>
      <c r="C492" s="58"/>
    </row>
    <row r="493" spans="2:3" ht="15">
      <c r="B493" s="58"/>
      <c r="C493" s="58"/>
    </row>
    <row r="494" spans="2:3" ht="15">
      <c r="B494" s="58"/>
      <c r="C494" s="58"/>
    </row>
    <row r="495" spans="2:3" ht="15">
      <c r="B495" s="58"/>
      <c r="C495" s="58"/>
    </row>
    <row r="496" spans="2:3" ht="15">
      <c r="B496" s="58"/>
      <c r="C496" s="58"/>
    </row>
    <row r="497" spans="2:3" ht="15">
      <c r="B497" s="58"/>
      <c r="C497" s="58"/>
    </row>
    <row r="498" spans="2:3" ht="15">
      <c r="B498" s="58"/>
      <c r="C498" s="58"/>
    </row>
    <row r="499" spans="2:3" ht="15">
      <c r="B499" s="58"/>
      <c r="C499" s="58"/>
    </row>
    <row r="500" spans="2:3" ht="15">
      <c r="B500" s="58"/>
      <c r="C500" s="58"/>
    </row>
    <row r="501" spans="2:3" ht="15">
      <c r="B501" s="58"/>
      <c r="C501" s="58"/>
    </row>
    <row r="502" spans="2:3" ht="15">
      <c r="B502" s="58"/>
      <c r="C502" s="58"/>
    </row>
    <row r="503" spans="2:3" ht="15">
      <c r="B503" s="58"/>
      <c r="C503" s="58"/>
    </row>
    <row r="504" spans="2:3" ht="15">
      <c r="B504" s="58"/>
      <c r="C504" s="58"/>
    </row>
    <row r="505" spans="2:3" ht="15">
      <c r="B505" s="58"/>
      <c r="C505" s="58"/>
    </row>
    <row r="506" spans="2:3" ht="15">
      <c r="B506" s="58"/>
      <c r="C506" s="58"/>
    </row>
    <row r="507" spans="2:3" ht="15">
      <c r="B507" s="58"/>
      <c r="C507" s="58"/>
    </row>
    <row r="508" spans="2:3" ht="15">
      <c r="B508" s="58"/>
      <c r="C508" s="58"/>
    </row>
    <row r="509" spans="2:3" ht="15">
      <c r="B509" s="58"/>
      <c r="C509" s="58"/>
    </row>
    <row r="510" spans="2:3" ht="15">
      <c r="B510" s="58"/>
      <c r="C510" s="58"/>
    </row>
    <row r="511" spans="2:3" ht="15">
      <c r="B511" s="58"/>
      <c r="C511" s="58"/>
    </row>
    <row r="512" spans="2:3" ht="15">
      <c r="B512" s="58"/>
      <c r="C512" s="58"/>
    </row>
    <row r="513" spans="2:3" ht="15">
      <c r="B513" s="58"/>
      <c r="C513" s="58"/>
    </row>
    <row r="514" spans="2:3" ht="15">
      <c r="B514" s="58"/>
      <c r="C514" s="58"/>
    </row>
    <row r="515" spans="2:3" ht="15">
      <c r="B515" s="58"/>
      <c r="C515" s="58"/>
    </row>
    <row r="516" spans="2:3" ht="15">
      <c r="B516" s="58"/>
      <c r="C516" s="58"/>
    </row>
    <row r="517" spans="2:3" ht="15">
      <c r="B517" s="58"/>
      <c r="C517" s="58"/>
    </row>
    <row r="518" spans="2:3" ht="15">
      <c r="B518" s="58"/>
      <c r="C518" s="58"/>
    </row>
    <row r="519" spans="2:3" ht="15">
      <c r="B519" s="58"/>
      <c r="C519" s="58"/>
    </row>
    <row r="520" spans="2:3" ht="15">
      <c r="B520" s="58"/>
      <c r="C520" s="58"/>
    </row>
    <row r="521" spans="2:3" ht="15">
      <c r="B521" s="58"/>
      <c r="C521" s="58"/>
    </row>
    <row r="522" spans="2:3" ht="15">
      <c r="B522" s="58"/>
      <c r="C522" s="58"/>
    </row>
    <row r="523" spans="2:3" ht="15">
      <c r="B523" s="58"/>
      <c r="C523" s="58"/>
    </row>
    <row r="524" spans="2:3" ht="15">
      <c r="B524" s="58"/>
      <c r="C524" s="58"/>
    </row>
    <row r="525" spans="2:3" ht="15">
      <c r="B525" s="58"/>
      <c r="C525" s="58"/>
    </row>
    <row r="526" spans="2:3" ht="15">
      <c r="B526" s="58"/>
      <c r="C526" s="58"/>
    </row>
    <row r="527" spans="2:3" ht="15">
      <c r="B527" s="58"/>
      <c r="C527" s="58"/>
    </row>
    <row r="528" spans="2:3" ht="15">
      <c r="B528" s="58"/>
      <c r="C528" s="58"/>
    </row>
    <row r="529" spans="2:3" ht="15">
      <c r="B529" s="58"/>
      <c r="C529" s="58"/>
    </row>
    <row r="530" spans="2:3" ht="15">
      <c r="B530" s="58"/>
      <c r="C530" s="58"/>
    </row>
    <row r="531" spans="2:3" ht="15">
      <c r="B531" s="58"/>
      <c r="C531" s="58"/>
    </row>
    <row r="532" spans="2:3" ht="15">
      <c r="B532" s="58"/>
      <c r="C532" s="58"/>
    </row>
    <row r="533" spans="2:3" ht="15">
      <c r="B533" s="58"/>
      <c r="C533" s="58"/>
    </row>
    <row r="534" spans="2:3" ht="15">
      <c r="B534" s="58"/>
      <c r="C534" s="58"/>
    </row>
    <row r="535" spans="2:3" ht="15">
      <c r="B535" s="58"/>
      <c r="C535" s="58"/>
    </row>
    <row r="536" spans="2:3" ht="15">
      <c r="B536" s="58"/>
      <c r="C536" s="58"/>
    </row>
    <row r="537" spans="2:3" ht="15">
      <c r="B537" s="58"/>
      <c r="C537" s="58"/>
    </row>
    <row r="538" spans="2:3" ht="15">
      <c r="B538" s="58"/>
      <c r="C538" s="58"/>
    </row>
    <row r="539" spans="2:3" ht="15">
      <c r="B539" s="58"/>
      <c r="C539" s="58"/>
    </row>
    <row r="540" spans="2:3" ht="15">
      <c r="B540" s="58"/>
      <c r="C540" s="58"/>
    </row>
    <row r="541" spans="2:3" ht="15">
      <c r="B541" s="58"/>
      <c r="C541" s="58"/>
    </row>
    <row r="542" spans="2:3" ht="15">
      <c r="B542" s="58"/>
      <c r="C542" s="58"/>
    </row>
    <row r="543" spans="2:3" ht="15">
      <c r="B543" s="58"/>
      <c r="C543" s="58"/>
    </row>
    <row r="544" spans="2:3" ht="15">
      <c r="B544" s="58"/>
      <c r="C544" s="58"/>
    </row>
    <row r="545" spans="2:3" ht="15">
      <c r="B545" s="58"/>
      <c r="C545" s="58"/>
    </row>
    <row r="546" spans="2:3" ht="15">
      <c r="B546" s="58"/>
      <c r="C546" s="58"/>
    </row>
    <row r="547" spans="2:3" ht="15">
      <c r="B547" s="58"/>
      <c r="C547" s="58"/>
    </row>
    <row r="548" spans="2:3" ht="15">
      <c r="B548" s="58"/>
      <c r="C548" s="58"/>
    </row>
    <row r="549" spans="2:3" ht="15">
      <c r="B549" s="58"/>
      <c r="C549" s="58"/>
    </row>
    <row r="550" spans="2:3" ht="15">
      <c r="B550" s="58"/>
      <c r="C550" s="58"/>
    </row>
  </sheetData>
  <sheetProtection/>
  <mergeCells count="5">
    <mergeCell ref="A8:A10"/>
    <mergeCell ref="A2:I2"/>
    <mergeCell ref="A3:I3"/>
    <mergeCell ref="A4:I4"/>
    <mergeCell ref="A6:I6"/>
  </mergeCells>
  <printOptions horizontalCentered="1"/>
  <pageMargins left="0.3937007874015748" right="0.3937007874015748" top="0.3937007874015748" bottom="0.3937007874015748" header="0.2755905511811024" footer="0.2362204724409449"/>
  <pageSetup horizontalDpi="300" verticalDpi="300" orientation="portrait" scale="75" r:id="rId3"/>
  <rowBreaks count="1" manualBreakCount="1">
    <brk id="39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R230"/>
  <sheetViews>
    <sheetView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11.421875" defaultRowHeight="12.75" outlineLevelRow="2" outlineLevelCol="1"/>
  <cols>
    <col min="1" max="1" width="47.00390625" style="55" customWidth="1"/>
    <col min="2" max="2" width="17.8515625" style="55" hidden="1" customWidth="1" outlineLevel="1"/>
    <col min="3" max="3" width="15.28125" style="55" hidden="1" customWidth="1" outlineLevel="1"/>
    <col min="4" max="4" width="16.57421875" style="55" hidden="1" customWidth="1" outlineLevel="1"/>
    <col min="5" max="5" width="15.57421875" style="55" hidden="1" customWidth="1" outlineLevel="1"/>
    <col min="6" max="6" width="15.421875" style="55" hidden="1" customWidth="1" outlineLevel="1"/>
    <col min="7" max="7" width="19.421875" style="55" hidden="1" customWidth="1" outlineLevel="1"/>
    <col min="8" max="8" width="16.140625" style="55" customWidth="1" collapsed="1"/>
    <col min="9" max="13" width="16.140625" style="55" customWidth="1"/>
    <col min="14" max="14" width="14.57421875" style="0" customWidth="1"/>
    <col min="15" max="15" width="17.28125" style="0" bestFit="1" customWidth="1"/>
    <col min="16" max="19" width="14.57421875" style="0" customWidth="1"/>
  </cols>
  <sheetData>
    <row r="1" spans="1:13" ht="1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5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5">
      <c r="A4" s="208" t="s">
        <v>234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ht="15.75" thickBot="1">
      <c r="A5" s="208" t="s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1"/>
    </row>
    <row r="6" spans="1:14" ht="45.75" thickTop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151" t="s">
        <v>11</v>
      </c>
      <c r="K6" s="151" t="s">
        <v>232</v>
      </c>
      <c r="L6" s="3" t="s">
        <v>236</v>
      </c>
      <c r="M6" s="160" t="s">
        <v>233</v>
      </c>
      <c r="N6" s="1"/>
    </row>
    <row r="7" spans="1:14" ht="15">
      <c r="A7" s="4" t="s">
        <v>13</v>
      </c>
      <c r="B7" s="5"/>
      <c r="C7" s="5"/>
      <c r="D7" s="5"/>
      <c r="E7" s="5"/>
      <c r="F7" s="5"/>
      <c r="G7" s="5"/>
      <c r="H7" s="5"/>
      <c r="I7" s="5"/>
      <c r="J7" s="152"/>
      <c r="K7" s="152"/>
      <c r="L7" s="152"/>
      <c r="M7" s="6"/>
      <c r="N7" s="7"/>
    </row>
    <row r="8" spans="1:16" ht="15">
      <c r="A8" s="8" t="s">
        <v>14</v>
      </c>
      <c r="B8" s="9">
        <f>+B9+B10+B11+B12+B13+B14+B15+B16+B17+B18</f>
        <v>164499659.8387045</v>
      </c>
      <c r="C8" s="9">
        <f>+C9+C10+C11+C12+C13+C14+C15+C16+C17+C18</f>
        <v>31680166.122798163</v>
      </c>
      <c r="D8" s="9">
        <f>+D9+D10+D11+D12+D13+D14+D15+D16+D17+D18</f>
        <v>228917804.15721068</v>
      </c>
      <c r="E8" s="9">
        <f>+E9+E10+E11+E12+E13+E14+E15+E16+E17+E18</f>
        <v>68858362.38128516</v>
      </c>
      <c r="F8" s="9">
        <f>+SUM(F9:F18)</f>
        <v>493955992.49999845</v>
      </c>
      <c r="G8" s="9">
        <f>+G9+G10+G11+G12+G13+G15+G16+G17+G18</f>
        <v>40510531.58617369</v>
      </c>
      <c r="H8" s="9">
        <f>+H9+H10+H11+H12+H13+H15+H16+H17+H18</f>
        <v>534466524.0861721</v>
      </c>
      <c r="I8" s="9">
        <f>+I9+I10+I11+I12+I13+I15+I16+I17+I18</f>
        <v>0</v>
      </c>
      <c r="J8" s="153">
        <f>+H8+I8</f>
        <v>534466524.0861721</v>
      </c>
      <c r="K8" s="9">
        <f>+K9+K10+K11+K12+K13+K15+K16+K17+K18</f>
        <v>462431829</v>
      </c>
      <c r="L8" s="153">
        <f>+K8-J8</f>
        <v>-72034695.0861721</v>
      </c>
      <c r="M8" s="161">
        <f>+K8/J8</f>
        <v>0.865221315386709</v>
      </c>
      <c r="N8" s="1"/>
      <c r="O8" s="10"/>
      <c r="P8" s="10"/>
    </row>
    <row r="9" spans="1:18" ht="14.25">
      <c r="A9" s="11" t="s">
        <v>15</v>
      </c>
      <c r="B9" s="12">
        <f>+'[1]Nómina y honorarios 2009'!K24</f>
        <v>111681235.94992</v>
      </c>
      <c r="C9" s="12">
        <f>+'[1]Nómina y honorarios 2009'!K50</f>
        <v>20897631.975826666</v>
      </c>
      <c r="D9" s="12">
        <f>+'[1]Nómina y honorarios 2009'!K57</f>
        <v>156206042.47595668</v>
      </c>
      <c r="E9" s="12">
        <f>+'[1]Nómina y honorarios 2009'!K41</f>
        <v>48822710.704950005</v>
      </c>
      <c r="F9" s="12">
        <f>+SUM(B9:E9)</f>
        <v>337607621.10665333</v>
      </c>
      <c r="G9" s="12">
        <f>+'[1]Nómina y honorarios 2009'!K12</f>
        <v>27307315.494853333</v>
      </c>
      <c r="H9" s="12">
        <f aca="true" t="shared" si="0" ref="H9:H19">+F9+G9</f>
        <v>364914936.60150665</v>
      </c>
      <c r="I9" s="12"/>
      <c r="J9" s="154">
        <f aca="true" t="shared" si="1" ref="J9:J72">+H9+I9</f>
        <v>364914936.60150665</v>
      </c>
      <c r="K9" s="154">
        <v>313635450</v>
      </c>
      <c r="L9" s="154">
        <f aca="true" t="shared" si="2" ref="L9:L72">+K9-J9</f>
        <v>-51279486.60150665</v>
      </c>
      <c r="M9" s="162">
        <f aca="true" t="shared" si="3" ref="M9:M72">+K9/J9</f>
        <v>0.8594755065959256</v>
      </c>
      <c r="N9" s="13"/>
      <c r="R9" s="14"/>
    </row>
    <row r="10" spans="1:18" ht="14.25">
      <c r="A10" s="11" t="s">
        <v>16</v>
      </c>
      <c r="B10" s="12">
        <f>+'[1]Nómina y honorarios 2009'!L24</f>
        <v>7673572.275965556</v>
      </c>
      <c r="C10" s="12">
        <f>+'[1]Nómina y honorarios 2009'!L50</f>
        <v>1741469.3313188888</v>
      </c>
      <c r="D10" s="12">
        <f>+'[1]Nómina y honorarios 2009'!L57</f>
        <v>10160336.692364445</v>
      </c>
      <c r="E10" s="12">
        <f>+'[1]Nómina y honorarios 2009'!L41</f>
        <v>2435361.838884722</v>
      </c>
      <c r="F10" s="12">
        <f aca="true" t="shared" si="4" ref="F10:F19">+SUM(B10:E10)</f>
        <v>22010740.13853361</v>
      </c>
      <c r="G10" s="12">
        <f>+'[1]Nómina y honorarios 2009'!L12</f>
        <v>2087163.7722794446</v>
      </c>
      <c r="H10" s="12">
        <f t="shared" si="0"/>
        <v>24097903.910813056</v>
      </c>
      <c r="I10" s="12"/>
      <c r="J10" s="154">
        <f t="shared" si="1"/>
        <v>24097903.910813056</v>
      </c>
      <c r="K10" s="154">
        <v>22467981</v>
      </c>
      <c r="L10" s="154">
        <f t="shared" si="2"/>
        <v>-1629922.910813056</v>
      </c>
      <c r="M10" s="162">
        <f t="shared" si="3"/>
        <v>0.9323624611980593</v>
      </c>
      <c r="N10" s="13"/>
      <c r="O10" s="13"/>
      <c r="P10" s="15"/>
      <c r="Q10" s="16"/>
      <c r="R10" s="16"/>
    </row>
    <row r="11" spans="1:18" ht="14.25">
      <c r="A11" s="11" t="s">
        <v>17</v>
      </c>
      <c r="B11" s="12">
        <f>+'[1]Nómina y honorarios 2009'!M24</f>
        <v>920828.6731158667</v>
      </c>
      <c r="C11" s="12">
        <f>+'[1]Nómina y honorarios 2009'!M50</f>
        <v>208976.31975826665</v>
      </c>
      <c r="D11" s="12">
        <f>+'[1]Nómina y honorarios 2009'!M57</f>
        <v>1219240.4030837337</v>
      </c>
      <c r="E11" s="12">
        <f>+'[1]Nómina y honorarios 2009'!M41</f>
        <v>292243.42066616664</v>
      </c>
      <c r="F11" s="12">
        <f t="shared" si="4"/>
        <v>2641288.8166240337</v>
      </c>
      <c r="G11" s="12">
        <f>+'[1]Nómina y honorarios 2009'!M12</f>
        <v>250459.65267353333</v>
      </c>
      <c r="H11" s="12">
        <f t="shared" si="0"/>
        <v>2891748.469297567</v>
      </c>
      <c r="I11" s="12"/>
      <c r="J11" s="154">
        <f t="shared" si="1"/>
        <v>2891748.469297567</v>
      </c>
      <c r="K11" s="154">
        <v>1601524</v>
      </c>
      <c r="L11" s="154">
        <f t="shared" si="2"/>
        <v>-1290224.469297567</v>
      </c>
      <c r="M11" s="162">
        <f t="shared" si="3"/>
        <v>0.5538254855163891</v>
      </c>
      <c r="N11" s="13"/>
      <c r="O11" s="13"/>
      <c r="P11" s="15"/>
      <c r="Q11" s="16"/>
      <c r="R11" s="16"/>
    </row>
    <row r="12" spans="1:16" ht="14.25">
      <c r="A12" s="11" t="s">
        <v>18</v>
      </c>
      <c r="B12" s="12">
        <f>+'[1]Nómina y honorarios 2009'!N24</f>
        <v>7673572.275965556</v>
      </c>
      <c r="C12" s="12">
        <f>+'[1]Nómina y honorarios 2009'!N50</f>
        <v>1741469.3313188888</v>
      </c>
      <c r="D12" s="12">
        <f>+'[1]Nómina y honorarios 2009'!N57</f>
        <v>10160336.692364445</v>
      </c>
      <c r="E12" s="12">
        <f>+'[1]Nómina y honorarios 2009'!N41</f>
        <v>2435361.838884722</v>
      </c>
      <c r="F12" s="12">
        <f t="shared" si="4"/>
        <v>22010740.13853361</v>
      </c>
      <c r="G12" s="12">
        <f>+'[1]Nómina y honorarios 2009'!N12</f>
        <v>2087163.7722794446</v>
      </c>
      <c r="H12" s="12">
        <f t="shared" si="0"/>
        <v>24097903.910813056</v>
      </c>
      <c r="I12" s="12"/>
      <c r="J12" s="154">
        <f t="shared" si="1"/>
        <v>24097903.910813056</v>
      </c>
      <c r="K12" s="154">
        <v>21653443</v>
      </c>
      <c r="L12" s="154">
        <f t="shared" si="2"/>
        <v>-2444460.910813056</v>
      </c>
      <c r="M12" s="162">
        <f t="shared" si="3"/>
        <v>0.8985612640891893</v>
      </c>
      <c r="N12" s="13"/>
      <c r="O12" s="13"/>
      <c r="P12" s="15"/>
    </row>
    <row r="13" spans="1:16" ht="14.25">
      <c r="A13" s="11" t="s">
        <v>19</v>
      </c>
      <c r="B13" s="12">
        <f>+'[1]Nómina y honorarios 2009'!O24</f>
        <v>4653384.831246668</v>
      </c>
      <c r="C13" s="12">
        <f>+'[1]Nómina y honorarios 2009'!O50</f>
        <v>870734.6656594444</v>
      </c>
      <c r="D13" s="12">
        <f>+'[1]Nómina y honorarios 2009'!O57</f>
        <v>5896767.039446111</v>
      </c>
      <c r="E13" s="12">
        <f>+'[1]Nómina y honorarios 2009'!O41</f>
        <v>2034279.6127062498</v>
      </c>
      <c r="F13" s="12">
        <f t="shared" si="4"/>
        <v>13455166.149058472</v>
      </c>
      <c r="G13" s="12">
        <f>+'[1]Nómina y honorarios 2009'!O12</f>
        <v>1043581.8861397223</v>
      </c>
      <c r="H13" s="12">
        <f t="shared" si="0"/>
        <v>14498748.035198195</v>
      </c>
      <c r="I13" s="12"/>
      <c r="J13" s="154">
        <f t="shared" si="1"/>
        <v>14498748.035198195</v>
      </c>
      <c r="K13" s="154">
        <v>14231796</v>
      </c>
      <c r="L13" s="154">
        <f t="shared" si="2"/>
        <v>-266952.0351981949</v>
      </c>
      <c r="M13" s="162">
        <f t="shared" si="3"/>
        <v>0.981587925071177</v>
      </c>
      <c r="N13" s="13"/>
      <c r="O13" s="13"/>
      <c r="P13" s="15"/>
    </row>
    <row r="14" spans="1:16" ht="14.25">
      <c r="A14" s="11" t="s">
        <v>20</v>
      </c>
      <c r="B14" s="12">
        <v>0</v>
      </c>
      <c r="C14" s="12">
        <v>0</v>
      </c>
      <c r="D14" s="12">
        <v>0</v>
      </c>
      <c r="E14" s="12">
        <v>0</v>
      </c>
      <c r="F14" s="12">
        <f t="shared" si="4"/>
        <v>0</v>
      </c>
      <c r="G14" s="12">
        <v>15000000</v>
      </c>
      <c r="H14" s="12">
        <f t="shared" si="0"/>
        <v>15000000</v>
      </c>
      <c r="I14" s="12"/>
      <c r="J14" s="154">
        <f t="shared" si="1"/>
        <v>15000000</v>
      </c>
      <c r="K14" s="154">
        <v>0</v>
      </c>
      <c r="L14" s="154">
        <f t="shared" si="2"/>
        <v>-15000000</v>
      </c>
      <c r="M14" s="162">
        <f t="shared" si="3"/>
        <v>0</v>
      </c>
      <c r="N14" s="13"/>
      <c r="O14" s="13"/>
      <c r="P14" s="15"/>
    </row>
    <row r="15" spans="1:16" ht="14.25">
      <c r="A15" s="11" t="s">
        <v>21</v>
      </c>
      <c r="B15" s="12">
        <f>+'[1]Nómina y honorarios 2009'!S24</f>
        <v>22391099.450233057</v>
      </c>
      <c r="C15" s="12">
        <f>+'[1]Nómina y honorarios 2009'!S50</f>
        <v>4355286.521091615</v>
      </c>
      <c r="D15" s="12">
        <f>+'[1]Nómina y honorarios 2009'!S57-356825</f>
        <v>31794259.68439412</v>
      </c>
      <c r="E15" s="12">
        <f>+'[1]Nómina y honorarios 2009'!S41</f>
        <v>8989705.854982791</v>
      </c>
      <c r="F15" s="12">
        <f>+SUM(B15:E15)</f>
        <v>67530351.51070158</v>
      </c>
      <c r="G15" s="12">
        <f>+'[1]Nómina y honorarios 2009'!S12</f>
        <v>5529276.833886418</v>
      </c>
      <c r="H15" s="12">
        <f>+F15+G15</f>
        <v>73059628.344588</v>
      </c>
      <c r="I15" s="12"/>
      <c r="J15" s="154">
        <f t="shared" si="1"/>
        <v>73059628.344588</v>
      </c>
      <c r="K15" s="154">
        <v>62814645</v>
      </c>
      <c r="L15" s="154">
        <f t="shared" si="2"/>
        <v>-10244983.344587997</v>
      </c>
      <c r="M15" s="162">
        <f t="shared" si="3"/>
        <v>0.8597723041203109</v>
      </c>
      <c r="N15" s="13"/>
      <c r="O15" s="13"/>
      <c r="P15" s="15"/>
    </row>
    <row r="16" spans="1:16" ht="14.25">
      <c r="A16" s="11" t="s">
        <v>22</v>
      </c>
      <c r="B16" s="12">
        <f>+'[1]Nómina y honorarios 2009'!U24</f>
        <v>4224873.947670134</v>
      </c>
      <c r="C16" s="12">
        <f>+'[1]Nómina y honorarios 2009'!U50</f>
        <v>828710.2123664</v>
      </c>
      <c r="D16" s="12">
        <f>+'[1]Nómina y honorarios 2009'!U57</f>
        <v>5991476.075378268</v>
      </c>
      <c r="E16" s="12">
        <f>+'[1]Nómina y honorarios 2009'!U41</f>
        <v>1710532.9378713334</v>
      </c>
      <c r="F16" s="12">
        <f t="shared" si="4"/>
        <v>12755593.173286136</v>
      </c>
      <c r="G16" s="12">
        <f>+'[1]Nómina y honorarios 2009'!U12</f>
        <v>980253.4106941334</v>
      </c>
      <c r="H16" s="12">
        <f t="shared" si="0"/>
        <v>13735846.58398027</v>
      </c>
      <c r="I16" s="12"/>
      <c r="J16" s="154">
        <f t="shared" si="1"/>
        <v>13735846.58398027</v>
      </c>
      <c r="K16" s="154">
        <v>11567240</v>
      </c>
      <c r="L16" s="154">
        <f t="shared" si="2"/>
        <v>-2168606.5839802697</v>
      </c>
      <c r="M16" s="162">
        <f t="shared" si="3"/>
        <v>0.8421206460976745</v>
      </c>
      <c r="N16" s="13"/>
      <c r="O16" s="13"/>
      <c r="P16" s="15"/>
    </row>
    <row r="17" spans="1:16" ht="14.25">
      <c r="A17" s="11" t="s">
        <v>23</v>
      </c>
      <c r="B17" s="12">
        <f>+'[1]Nómina y honorarios 2009'!X24</f>
        <v>5281092.434587667</v>
      </c>
      <c r="C17" s="12">
        <f>+'[1]Nómina y honorarios 2009'!X50</f>
        <v>1035887.7654579999</v>
      </c>
      <c r="D17" s="12">
        <f>+'[1]Nómina y honorarios 2009'!X57</f>
        <v>7489345.094222833</v>
      </c>
      <c r="E17" s="12">
        <f>+'[1]Nómina y honorarios 2009'!X41</f>
        <v>2138166.1723391665</v>
      </c>
      <c r="F17" s="12">
        <f t="shared" si="4"/>
        <v>15944491.466607668</v>
      </c>
      <c r="G17" s="12">
        <f>+'[1]Nómina y honorarios 2009'!X12</f>
        <v>1225316.7633676669</v>
      </c>
      <c r="H17" s="12">
        <f t="shared" si="0"/>
        <v>17169808.229975335</v>
      </c>
      <c r="I17" s="12"/>
      <c r="J17" s="154">
        <f t="shared" si="1"/>
        <v>17169808.229975335</v>
      </c>
      <c r="K17" s="154">
        <v>14459750</v>
      </c>
      <c r="L17" s="154">
        <f t="shared" si="2"/>
        <v>-2710058.2299753353</v>
      </c>
      <c r="M17" s="162">
        <f t="shared" si="3"/>
        <v>0.8421614153357828</v>
      </c>
      <c r="N17" s="13"/>
      <c r="O17" s="13"/>
      <c r="P17" s="15"/>
    </row>
    <row r="18" spans="1:16" ht="14.25">
      <c r="A18" s="11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4"/>
        <v>0</v>
      </c>
      <c r="G18" s="12">
        <v>0</v>
      </c>
      <c r="H18" s="12">
        <f t="shared" si="0"/>
        <v>0</v>
      </c>
      <c r="I18" s="12"/>
      <c r="J18" s="154">
        <f t="shared" si="1"/>
        <v>0</v>
      </c>
      <c r="K18" s="154">
        <v>0</v>
      </c>
      <c r="L18" s="154">
        <f t="shared" si="2"/>
        <v>0</v>
      </c>
      <c r="M18" s="162">
        <v>0</v>
      </c>
      <c r="N18" s="13"/>
      <c r="O18" s="13"/>
      <c r="P18" s="15"/>
    </row>
    <row r="19" spans="1:16" ht="14.25">
      <c r="A19" s="11" t="s">
        <v>25</v>
      </c>
      <c r="B19" s="17">
        <v>7320000</v>
      </c>
      <c r="C19" s="18"/>
      <c r="D19" s="17">
        <v>11305750</v>
      </c>
      <c r="E19" s="17"/>
      <c r="F19" s="12">
        <f t="shared" si="4"/>
        <v>18625750</v>
      </c>
      <c r="G19" s="12">
        <f>+'[1]Nómina y honorarios 2009'!I88</f>
        <v>12000000</v>
      </c>
      <c r="H19" s="12">
        <f t="shared" si="0"/>
        <v>30625750</v>
      </c>
      <c r="I19" s="12"/>
      <c r="J19" s="154">
        <f t="shared" si="1"/>
        <v>30625750</v>
      </c>
      <c r="K19" s="154">
        <v>27479080</v>
      </c>
      <c r="L19" s="154">
        <f t="shared" si="2"/>
        <v>-3146670</v>
      </c>
      <c r="M19" s="162">
        <f t="shared" si="3"/>
        <v>0.8972541080626597</v>
      </c>
      <c r="N19" s="13"/>
      <c r="O19" s="19"/>
      <c r="P19" s="15"/>
    </row>
    <row r="20" spans="1:16" ht="15">
      <c r="A20" s="20" t="s">
        <v>26</v>
      </c>
      <c r="B20" s="21">
        <f>SUM(B9:B19)</f>
        <v>171819659.8387045</v>
      </c>
      <c r="C20" s="21">
        <f>SUM(C9:C19)</f>
        <v>31680166.122798163</v>
      </c>
      <c r="D20" s="21">
        <f>SUM(D9:D19)</f>
        <v>240223554.15721068</v>
      </c>
      <c r="E20" s="21">
        <f>SUM(E9:E19)</f>
        <v>68858362.38128516</v>
      </c>
      <c r="F20" s="21">
        <f>+SUM(F9:F19)</f>
        <v>512581742.49999845</v>
      </c>
      <c r="G20" s="21">
        <f>SUM(G9:G19)</f>
        <v>67510531.58617368</v>
      </c>
      <c r="H20" s="21">
        <f>+SUM(H9:H19)</f>
        <v>580092274.0861721</v>
      </c>
      <c r="I20" s="21">
        <f>+SUM(I9:I19)</f>
        <v>0</v>
      </c>
      <c r="J20" s="155">
        <f t="shared" si="1"/>
        <v>580092274.0861721</v>
      </c>
      <c r="K20" s="21">
        <f>+SUM(K9:K19)</f>
        <v>489910909</v>
      </c>
      <c r="L20" s="153">
        <f t="shared" si="2"/>
        <v>-90181365.0861721</v>
      </c>
      <c r="M20" s="163">
        <f t="shared" si="3"/>
        <v>0.8445396204798001</v>
      </c>
      <c r="N20" s="13"/>
      <c r="O20" s="13"/>
      <c r="P20" s="15"/>
    </row>
    <row r="21" spans="1:16" ht="15">
      <c r="A21" s="4" t="s">
        <v>27</v>
      </c>
      <c r="B21" s="12"/>
      <c r="C21" s="12"/>
      <c r="D21" s="12"/>
      <c r="E21" s="12"/>
      <c r="F21" s="12"/>
      <c r="G21" s="21"/>
      <c r="H21" s="12"/>
      <c r="I21" s="12"/>
      <c r="J21" s="154"/>
      <c r="K21" s="154"/>
      <c r="L21" s="153"/>
      <c r="M21" s="162"/>
      <c r="N21" s="13"/>
      <c r="O21" s="13"/>
      <c r="P21" s="15"/>
    </row>
    <row r="22" spans="1:16" ht="14.25">
      <c r="A22" s="22" t="s">
        <v>28</v>
      </c>
      <c r="B22" s="12">
        <v>0</v>
      </c>
      <c r="C22" s="12">
        <v>0</v>
      </c>
      <c r="D22" s="12">
        <v>0</v>
      </c>
      <c r="E22" s="12">
        <v>0</v>
      </c>
      <c r="F22" s="12">
        <f aca="true" t="shared" si="5" ref="F22:F35">SUM(B22:E22)</f>
        <v>0</v>
      </c>
      <c r="G22" s="12">
        <f>+'[1]Funcionamiento'!H8</f>
        <v>16676000</v>
      </c>
      <c r="H22" s="12">
        <f aca="true" t="shared" si="6" ref="H22:H34">+F22+G22</f>
        <v>16676000</v>
      </c>
      <c r="I22" s="12"/>
      <c r="J22" s="154">
        <f t="shared" si="1"/>
        <v>16676000</v>
      </c>
      <c r="K22" s="154">
        <v>14805486</v>
      </c>
      <c r="L22" s="154">
        <f t="shared" si="2"/>
        <v>-1870514</v>
      </c>
      <c r="M22" s="162">
        <f t="shared" si="3"/>
        <v>0.8878319740945071</v>
      </c>
      <c r="O22" s="13"/>
      <c r="P22" s="15"/>
    </row>
    <row r="23" spans="1:16" ht="14.25">
      <c r="A23" s="22" t="s">
        <v>29</v>
      </c>
      <c r="B23" s="12">
        <v>0</v>
      </c>
      <c r="C23" s="12">
        <v>0</v>
      </c>
      <c r="D23" s="12">
        <v>0</v>
      </c>
      <c r="E23" s="12">
        <v>0</v>
      </c>
      <c r="F23" s="12">
        <f t="shared" si="5"/>
        <v>0</v>
      </c>
      <c r="G23" s="12">
        <f>+'[1]Funcionamiento'!H10</f>
        <v>0</v>
      </c>
      <c r="H23" s="12">
        <f t="shared" si="6"/>
        <v>0</v>
      </c>
      <c r="I23" s="12"/>
      <c r="J23" s="154">
        <f t="shared" si="1"/>
        <v>0</v>
      </c>
      <c r="K23" s="154">
        <v>0</v>
      </c>
      <c r="L23" s="154">
        <f t="shared" si="2"/>
        <v>0</v>
      </c>
      <c r="M23" s="162">
        <v>0</v>
      </c>
      <c r="N23" s="13"/>
      <c r="O23" s="13"/>
      <c r="P23" s="15"/>
    </row>
    <row r="24" spans="1:16" ht="14.25">
      <c r="A24" s="22" t="s">
        <v>30</v>
      </c>
      <c r="B24" s="12">
        <v>0</v>
      </c>
      <c r="C24" s="12">
        <v>0</v>
      </c>
      <c r="D24" s="12">
        <f>+'[1]Funcionamiento'!I12</f>
        <v>1758019</v>
      </c>
      <c r="E24" s="12">
        <v>0</v>
      </c>
      <c r="F24" s="12">
        <f t="shared" si="5"/>
        <v>1758019</v>
      </c>
      <c r="G24" s="12">
        <f>+'[1]Funcionamiento'!H12</f>
        <v>4774000</v>
      </c>
      <c r="H24" s="12">
        <f t="shared" si="6"/>
        <v>6532019</v>
      </c>
      <c r="I24" s="12"/>
      <c r="J24" s="154">
        <f t="shared" si="1"/>
        <v>6532019</v>
      </c>
      <c r="K24" s="154">
        <v>5051670</v>
      </c>
      <c r="L24" s="154">
        <f t="shared" si="2"/>
        <v>-1480349</v>
      </c>
      <c r="M24" s="162">
        <f t="shared" si="3"/>
        <v>0.7733703775203349</v>
      </c>
      <c r="N24" s="23"/>
      <c r="O24" s="23"/>
      <c r="P24" s="15"/>
    </row>
    <row r="25" spans="1:14" s="25" customFormat="1" ht="14.25">
      <c r="A25" s="22" t="s">
        <v>31</v>
      </c>
      <c r="B25" s="12">
        <f>+'[1]Funcionamiento'!J14</f>
        <v>1088199</v>
      </c>
      <c r="C25" s="12">
        <f>+'[1]Funcionamiento'!K14</f>
        <v>1088199</v>
      </c>
      <c r="D25" s="12">
        <f>+'[1]Funcionamiento'!I14</f>
        <v>1088199</v>
      </c>
      <c r="E25" s="12">
        <f>+'[1]Funcionamiento'!L14</f>
        <v>1088199</v>
      </c>
      <c r="F25" s="12">
        <f t="shared" si="5"/>
        <v>4352796</v>
      </c>
      <c r="G25" s="12">
        <f>+'[4]Anexo 2 '!$G$25</f>
        <v>6799906.9047</v>
      </c>
      <c r="H25" s="12">
        <f t="shared" si="6"/>
        <v>11152702.9047</v>
      </c>
      <c r="I25" s="12"/>
      <c r="J25" s="154">
        <f t="shared" si="1"/>
        <v>11152702.9047</v>
      </c>
      <c r="K25" s="154">
        <v>8444889.120000001</v>
      </c>
      <c r="L25" s="154">
        <f t="shared" si="2"/>
        <v>-2707813.784699999</v>
      </c>
      <c r="M25" s="162">
        <f t="shared" si="3"/>
        <v>0.757205602279707</v>
      </c>
      <c r="N25" s="24"/>
    </row>
    <row r="26" spans="1:14" ht="14.25">
      <c r="A26" s="22" t="s">
        <v>32</v>
      </c>
      <c r="B26" s="12">
        <f>+'[1]Funcionamiento'!J16</f>
        <v>2192555</v>
      </c>
      <c r="C26" s="12">
        <f>+'[1]Funcionamiento'!K16</f>
        <v>1812520</v>
      </c>
      <c r="D26" s="12">
        <f>+'[1]Funcionamiento'!I16</f>
        <v>3115894</v>
      </c>
      <c r="E26" s="12">
        <f>+'[1]Funcionamiento'!L16</f>
        <v>2533040</v>
      </c>
      <c r="F26" s="12">
        <f t="shared" si="5"/>
        <v>9654009</v>
      </c>
      <c r="G26" s="12">
        <f>+'[1]Funcionamiento'!H16</f>
        <v>6071000.25</v>
      </c>
      <c r="H26" s="12">
        <f t="shared" si="6"/>
        <v>15725009.25</v>
      </c>
      <c r="I26" s="12"/>
      <c r="J26" s="154">
        <f t="shared" si="1"/>
        <v>15725009.25</v>
      </c>
      <c r="K26" s="154">
        <v>14048902</v>
      </c>
      <c r="L26" s="154">
        <f t="shared" si="2"/>
        <v>-1676107.25</v>
      </c>
      <c r="M26" s="162">
        <f t="shared" si="3"/>
        <v>0.893411366355794</v>
      </c>
      <c r="N26" s="1"/>
    </row>
    <row r="27" spans="1:14" ht="14.25">
      <c r="A27" s="22" t="s">
        <v>33</v>
      </c>
      <c r="B27" s="12">
        <f>+'[1]Funcionamiento'!J18</f>
        <v>200000</v>
      </c>
      <c r="C27" s="12">
        <v>0</v>
      </c>
      <c r="D27" s="12">
        <f>+'[1]Funcionamiento'!I18</f>
        <v>668000</v>
      </c>
      <c r="E27" s="12">
        <v>0</v>
      </c>
      <c r="F27" s="12">
        <f t="shared" si="5"/>
        <v>868000</v>
      </c>
      <c r="G27" s="12">
        <f>+'[1]Funcionamiento'!H18</f>
        <v>10027705.8683</v>
      </c>
      <c r="H27" s="12">
        <f t="shared" si="6"/>
        <v>10895705.8683</v>
      </c>
      <c r="I27" s="12"/>
      <c r="J27" s="154">
        <f t="shared" si="1"/>
        <v>10895705.8683</v>
      </c>
      <c r="K27" s="154">
        <v>10372745</v>
      </c>
      <c r="L27" s="154">
        <f t="shared" si="2"/>
        <v>-522960.8683000002</v>
      </c>
      <c r="M27" s="162">
        <f t="shared" si="3"/>
        <v>0.9520030299439797</v>
      </c>
      <c r="N27" s="1"/>
    </row>
    <row r="28" spans="1:14" ht="14.25">
      <c r="A28" s="22" t="s">
        <v>34</v>
      </c>
      <c r="B28" s="12">
        <f>+'[1]Funcionamiento'!J20</f>
        <v>3000000</v>
      </c>
      <c r="C28" s="12">
        <f>+'[1]Funcionamiento'!K20</f>
        <v>1610000</v>
      </c>
      <c r="D28" s="12">
        <f>+'[1]Funcionamiento'!I20</f>
        <v>28595151</v>
      </c>
      <c r="E28" s="12">
        <f>+'[1]Funcionamiento'!L20</f>
        <v>2243000</v>
      </c>
      <c r="F28" s="12">
        <f t="shared" si="5"/>
        <v>35448151</v>
      </c>
      <c r="G28" s="12">
        <f>+'[1]Funcionamiento'!H20</f>
        <v>5406000</v>
      </c>
      <c r="H28" s="12">
        <f t="shared" si="6"/>
        <v>40854151</v>
      </c>
      <c r="I28" s="12"/>
      <c r="J28" s="154">
        <f t="shared" si="1"/>
        <v>40854151</v>
      </c>
      <c r="K28" s="154">
        <v>33712746</v>
      </c>
      <c r="L28" s="154">
        <f t="shared" si="2"/>
        <v>-7141405</v>
      </c>
      <c r="M28" s="162">
        <f t="shared" si="3"/>
        <v>0.8251975668274198</v>
      </c>
      <c r="N28" s="1"/>
    </row>
    <row r="29" spans="1:14" ht="14.25">
      <c r="A29" s="22" t="s">
        <v>35</v>
      </c>
      <c r="B29" s="12">
        <f>+'[1]Funcionamiento'!J22</f>
        <v>10378463</v>
      </c>
      <c r="C29" s="12">
        <v>0</v>
      </c>
      <c r="D29" s="12">
        <f>+'[1]Funcionamiento'!I22</f>
        <v>7288200</v>
      </c>
      <c r="E29" s="12">
        <v>0</v>
      </c>
      <c r="F29" s="12">
        <f>SUM(B29:E29)</f>
        <v>17666663</v>
      </c>
      <c r="G29" s="12">
        <v>367315</v>
      </c>
      <c r="H29" s="12">
        <f>+F29+G29</f>
        <v>18033978</v>
      </c>
      <c r="I29" s="12"/>
      <c r="J29" s="154">
        <f t="shared" si="1"/>
        <v>18033978</v>
      </c>
      <c r="K29" s="154">
        <v>14340514</v>
      </c>
      <c r="L29" s="154">
        <f t="shared" si="2"/>
        <v>-3693464</v>
      </c>
      <c r="M29" s="162">
        <f t="shared" si="3"/>
        <v>0.7951941607115192</v>
      </c>
      <c r="N29" s="1"/>
    </row>
    <row r="30" spans="1:14" ht="14.25">
      <c r="A30" s="22" t="s">
        <v>36</v>
      </c>
      <c r="B30" s="12">
        <f>+'[1]Funcionamiento'!J24</f>
        <v>18603181</v>
      </c>
      <c r="C30" s="12">
        <f>+'[1]Funcionamiento'!K24</f>
        <v>1500000</v>
      </c>
      <c r="D30" s="12">
        <f>+'[1]Funcionamiento'!I24</f>
        <v>15000000</v>
      </c>
      <c r="E30" s="12">
        <f>+'[1]Funcionamiento'!L24</f>
        <v>9593000</v>
      </c>
      <c r="F30" s="12">
        <f t="shared" si="5"/>
        <v>44696181</v>
      </c>
      <c r="G30" s="12">
        <f>+'[1]Funcionamiento'!H24</f>
        <v>8010000</v>
      </c>
      <c r="H30" s="12">
        <f t="shared" si="6"/>
        <v>52706181</v>
      </c>
      <c r="I30" s="12"/>
      <c r="J30" s="154">
        <f t="shared" si="1"/>
        <v>52706181</v>
      </c>
      <c r="K30" s="154">
        <v>52705707</v>
      </c>
      <c r="L30" s="154">
        <f t="shared" si="2"/>
        <v>-474</v>
      </c>
      <c r="M30" s="162">
        <f t="shared" si="3"/>
        <v>0.999991006747387</v>
      </c>
      <c r="N30" s="1"/>
    </row>
    <row r="31" spans="1:14" ht="14.25">
      <c r="A31" s="22" t="s">
        <v>37</v>
      </c>
      <c r="B31" s="12"/>
      <c r="C31" s="12">
        <v>0</v>
      </c>
      <c r="D31" s="12">
        <f>+'[1]Funcionamiento'!I26</f>
        <v>552400</v>
      </c>
      <c r="E31" s="12">
        <v>0</v>
      </c>
      <c r="F31" s="12">
        <f t="shared" si="5"/>
        <v>552400</v>
      </c>
      <c r="G31" s="12">
        <f>+'[1]Funcionamiento'!H26</f>
        <v>870000</v>
      </c>
      <c r="H31" s="12">
        <f t="shared" si="6"/>
        <v>1422400</v>
      </c>
      <c r="I31" s="12"/>
      <c r="J31" s="154">
        <f t="shared" si="1"/>
        <v>1422400</v>
      </c>
      <c r="K31" s="154">
        <v>880400</v>
      </c>
      <c r="L31" s="154">
        <f t="shared" si="2"/>
        <v>-542000</v>
      </c>
      <c r="M31" s="162">
        <f t="shared" si="3"/>
        <v>0.6189538807649044</v>
      </c>
      <c r="N31" s="1"/>
    </row>
    <row r="32" spans="1:14" ht="14.25">
      <c r="A32" s="22" t="s">
        <v>38</v>
      </c>
      <c r="B32" s="12">
        <f>+'[1]Funcionamiento'!J28</f>
        <v>0</v>
      </c>
      <c r="C32" s="12">
        <f>+'[1]Funcionamiento'!K28</f>
        <v>0</v>
      </c>
      <c r="D32" s="12">
        <f>+'[1]Funcionamiento'!I28</f>
        <v>6773000</v>
      </c>
      <c r="E32" s="12">
        <f>+'[1]Funcionamiento'!L28</f>
        <v>0</v>
      </c>
      <c r="F32" s="12">
        <f t="shared" si="5"/>
        <v>6773000</v>
      </c>
      <c r="G32" s="12">
        <f>+'[1]Funcionamiento'!H28</f>
        <v>13598000</v>
      </c>
      <c r="H32" s="12">
        <f t="shared" si="6"/>
        <v>20371000</v>
      </c>
      <c r="I32" s="12"/>
      <c r="J32" s="154">
        <f t="shared" si="1"/>
        <v>20371000</v>
      </c>
      <c r="K32" s="154">
        <v>19094080</v>
      </c>
      <c r="L32" s="154">
        <f t="shared" si="2"/>
        <v>-1276920</v>
      </c>
      <c r="M32" s="162">
        <f t="shared" si="3"/>
        <v>0.9373167738451721</v>
      </c>
      <c r="N32" s="1"/>
    </row>
    <row r="33" spans="1:14" ht="14.25">
      <c r="A33" s="22" t="s">
        <v>39</v>
      </c>
      <c r="B33" s="12">
        <v>0</v>
      </c>
      <c r="C33" s="12">
        <v>0</v>
      </c>
      <c r="D33" s="12">
        <v>0</v>
      </c>
      <c r="E33" s="12">
        <v>0</v>
      </c>
      <c r="F33" s="12">
        <f t="shared" si="5"/>
        <v>0</v>
      </c>
      <c r="G33" s="12">
        <f>+'[1]Funcionamiento'!H30</f>
        <v>7000000</v>
      </c>
      <c r="H33" s="12">
        <f t="shared" si="6"/>
        <v>7000000</v>
      </c>
      <c r="I33" s="12"/>
      <c r="J33" s="154">
        <f t="shared" si="1"/>
        <v>7000000</v>
      </c>
      <c r="K33" s="154">
        <v>1878145</v>
      </c>
      <c r="L33" s="154">
        <f t="shared" si="2"/>
        <v>-5121855</v>
      </c>
      <c r="M33" s="162">
        <f t="shared" si="3"/>
        <v>0.26830642857142856</v>
      </c>
      <c r="N33" s="1"/>
    </row>
    <row r="34" spans="1:14" ht="14.25">
      <c r="A34" s="22" t="s">
        <v>40</v>
      </c>
      <c r="B34" s="12">
        <v>0</v>
      </c>
      <c r="C34" s="12">
        <v>0</v>
      </c>
      <c r="D34" s="12">
        <f>+'[1]Funcionamiento'!I32</f>
        <v>16900000</v>
      </c>
      <c r="E34" s="12">
        <v>0</v>
      </c>
      <c r="F34" s="12">
        <f t="shared" si="5"/>
        <v>16900000</v>
      </c>
      <c r="G34" s="12">
        <f>+'[1]Funcionamiento'!H32</f>
        <v>14985000</v>
      </c>
      <c r="H34" s="12">
        <f t="shared" si="6"/>
        <v>31885000</v>
      </c>
      <c r="I34" s="12"/>
      <c r="J34" s="154">
        <f t="shared" si="1"/>
        <v>31885000</v>
      </c>
      <c r="K34" s="154">
        <v>21861386.31</v>
      </c>
      <c r="L34" s="154">
        <f t="shared" si="2"/>
        <v>-10023613.690000001</v>
      </c>
      <c r="M34" s="162">
        <f t="shared" si="3"/>
        <v>0.6856323133134702</v>
      </c>
      <c r="N34" s="1"/>
    </row>
    <row r="35" spans="1:14" ht="14.25">
      <c r="A35" s="22" t="s">
        <v>41</v>
      </c>
      <c r="B35" s="12">
        <v>0</v>
      </c>
      <c r="C35" s="12">
        <v>0</v>
      </c>
      <c r="D35" s="12">
        <v>0</v>
      </c>
      <c r="E35" s="12">
        <v>0</v>
      </c>
      <c r="F35" s="12">
        <f t="shared" si="5"/>
        <v>0</v>
      </c>
      <c r="G35" s="12">
        <f>+'[1]Funcionamiento'!H34</f>
        <v>32178000</v>
      </c>
      <c r="H35" s="12">
        <f>+F35+G35</f>
        <v>32178000</v>
      </c>
      <c r="I35" s="12"/>
      <c r="J35" s="154">
        <f t="shared" si="1"/>
        <v>32178000</v>
      </c>
      <c r="K35" s="154">
        <v>32165067</v>
      </c>
      <c r="L35" s="154">
        <f t="shared" si="2"/>
        <v>-12933</v>
      </c>
      <c r="M35" s="162">
        <f t="shared" si="3"/>
        <v>0.999598079433153</v>
      </c>
      <c r="N35" s="1"/>
    </row>
    <row r="36" spans="1:15" ht="15">
      <c r="A36" s="20" t="s">
        <v>42</v>
      </c>
      <c r="B36" s="21">
        <f aca="true" t="shared" si="7" ref="B36:G36">SUM(B22:B35)</f>
        <v>35462398</v>
      </c>
      <c r="C36" s="21">
        <f t="shared" si="7"/>
        <v>6010719</v>
      </c>
      <c r="D36" s="21">
        <f t="shared" si="7"/>
        <v>81738863</v>
      </c>
      <c r="E36" s="21">
        <f t="shared" si="7"/>
        <v>15457239</v>
      </c>
      <c r="F36" s="21">
        <f t="shared" si="7"/>
        <v>138669219</v>
      </c>
      <c r="G36" s="21">
        <f t="shared" si="7"/>
        <v>126762928.023</v>
      </c>
      <c r="H36" s="9">
        <f>+SUM(H22:H35)</f>
        <v>265432147.023</v>
      </c>
      <c r="I36" s="9">
        <f>+SUM(I22:I35)</f>
        <v>0</v>
      </c>
      <c r="J36" s="153">
        <f t="shared" si="1"/>
        <v>265432147.023</v>
      </c>
      <c r="K36" s="9">
        <f>+SUM(K22:K35)</f>
        <v>229361737.43</v>
      </c>
      <c r="L36" s="153">
        <f t="shared" si="2"/>
        <v>-36070409.592999995</v>
      </c>
      <c r="M36" s="164">
        <f t="shared" si="3"/>
        <v>0.8641068536816136</v>
      </c>
      <c r="N36" s="1"/>
      <c r="O36" s="16"/>
    </row>
    <row r="37" spans="1:14" s="25" customFormat="1" ht="15">
      <c r="A37" s="20" t="s">
        <v>43</v>
      </c>
      <c r="B37" s="21">
        <f aca="true" t="shared" si="8" ref="B37:K37">+B36+B20</f>
        <v>207282057.8387045</v>
      </c>
      <c r="C37" s="21">
        <f t="shared" si="8"/>
        <v>37690885.12279816</v>
      </c>
      <c r="D37" s="21">
        <f t="shared" si="8"/>
        <v>321962417.1572107</v>
      </c>
      <c r="E37" s="21">
        <f t="shared" si="8"/>
        <v>84315601.38128516</v>
      </c>
      <c r="F37" s="21">
        <f t="shared" si="8"/>
        <v>651250961.4999985</v>
      </c>
      <c r="G37" s="21">
        <f t="shared" si="8"/>
        <v>194273459.6091737</v>
      </c>
      <c r="H37" s="21">
        <f t="shared" si="8"/>
        <v>845524421.1091721</v>
      </c>
      <c r="I37" s="21">
        <f t="shared" si="8"/>
        <v>0</v>
      </c>
      <c r="J37" s="155">
        <f t="shared" si="1"/>
        <v>845524421.1091721</v>
      </c>
      <c r="K37" s="21">
        <f t="shared" si="8"/>
        <v>719272646.4300001</v>
      </c>
      <c r="L37" s="153">
        <f t="shared" si="2"/>
        <v>-126251774.67917204</v>
      </c>
      <c r="M37" s="163">
        <f t="shared" si="3"/>
        <v>0.8506822848315215</v>
      </c>
      <c r="N37" s="24"/>
    </row>
    <row r="38" spans="1:14" ht="15">
      <c r="A38" s="22"/>
      <c r="B38" s="12"/>
      <c r="C38" s="12"/>
      <c r="D38" s="12"/>
      <c r="E38" s="12"/>
      <c r="F38" s="12"/>
      <c r="G38" s="12"/>
      <c r="H38" s="12"/>
      <c r="I38" s="12"/>
      <c r="J38" s="154"/>
      <c r="K38" s="154"/>
      <c r="L38" s="153"/>
      <c r="M38" s="162"/>
      <c r="N38" s="26"/>
    </row>
    <row r="39" spans="1:15" ht="15">
      <c r="A39" s="20" t="s">
        <v>44</v>
      </c>
      <c r="B39" s="21">
        <f>+B41</f>
        <v>466873085</v>
      </c>
      <c r="C39" s="21">
        <f>+C112</f>
        <v>406558779</v>
      </c>
      <c r="D39" s="21">
        <f>+D144</f>
        <v>1587715606</v>
      </c>
      <c r="E39" s="21">
        <f>+E65</f>
        <v>827966568</v>
      </c>
      <c r="F39" s="21">
        <f>+F41+F65+F112+F144</f>
        <v>3289114038</v>
      </c>
      <c r="G39" s="21">
        <f>+G41+G65+G112+G144</f>
        <v>0</v>
      </c>
      <c r="H39" s="21">
        <f>+H41+H65+H112+H144</f>
        <v>3289114038</v>
      </c>
      <c r="I39" s="21">
        <f>+I41+I65+I112+I144</f>
        <v>300005716</v>
      </c>
      <c r="J39" s="155">
        <f t="shared" si="1"/>
        <v>3589119754</v>
      </c>
      <c r="K39" s="21">
        <f>+K41+K65+K112+K144</f>
        <v>3305660827.6800003</v>
      </c>
      <c r="L39" s="153">
        <f t="shared" si="2"/>
        <v>-283458926.3199997</v>
      </c>
      <c r="M39" s="163">
        <f t="shared" si="3"/>
        <v>0.9210227170592202</v>
      </c>
      <c r="N39" s="27"/>
      <c r="O39" s="28"/>
    </row>
    <row r="40" spans="1:16" ht="15">
      <c r="A40" s="22"/>
      <c r="B40" s="12"/>
      <c r="C40" s="12"/>
      <c r="D40" s="12"/>
      <c r="E40" s="12"/>
      <c r="F40" s="12"/>
      <c r="G40" s="12"/>
      <c r="H40" s="12"/>
      <c r="I40" s="12"/>
      <c r="J40" s="154"/>
      <c r="K40" s="154"/>
      <c r="L40" s="153"/>
      <c r="M40" s="162"/>
      <c r="N40" s="1"/>
      <c r="P40" s="16"/>
    </row>
    <row r="41" spans="1:14" ht="15">
      <c r="A41" s="4" t="s">
        <v>45</v>
      </c>
      <c r="B41" s="21">
        <f>+B42+B51+B55+B59</f>
        <v>466873085</v>
      </c>
      <c r="C41" s="21"/>
      <c r="D41" s="21"/>
      <c r="E41" s="21"/>
      <c r="F41" s="21">
        <f>+E41+D41+C41+B41</f>
        <v>466873085</v>
      </c>
      <c r="G41" s="21"/>
      <c r="H41" s="21">
        <f>+G41+F41</f>
        <v>466873085</v>
      </c>
      <c r="I41" s="21"/>
      <c r="J41" s="155">
        <f t="shared" si="1"/>
        <v>466873085</v>
      </c>
      <c r="K41" s="21">
        <f>+K42+K51+K55+K59</f>
        <v>404012907.4</v>
      </c>
      <c r="L41" s="178">
        <f t="shared" si="2"/>
        <v>-62860177.600000024</v>
      </c>
      <c r="M41" s="163">
        <f t="shared" si="3"/>
        <v>0.8653591744317408</v>
      </c>
      <c r="N41" s="1"/>
    </row>
    <row r="42" spans="1:14" s="31" customFormat="1" ht="15">
      <c r="A42" s="29" t="s">
        <v>46</v>
      </c>
      <c r="B42" s="21">
        <f>+B43+SUM(B46:B50)</f>
        <v>395962515</v>
      </c>
      <c r="C42" s="21"/>
      <c r="D42" s="21"/>
      <c r="E42" s="21"/>
      <c r="F42" s="21">
        <f>+F43+SUM(F46:F50)</f>
        <v>395962515</v>
      </c>
      <c r="G42" s="21"/>
      <c r="H42" s="21">
        <f>+H43+SUM(H46:H50)</f>
        <v>395962515</v>
      </c>
      <c r="I42" s="21"/>
      <c r="J42" s="155">
        <f t="shared" si="1"/>
        <v>395962515</v>
      </c>
      <c r="K42" s="21">
        <f>+K43+SUM(K46:K50)</f>
        <v>335238165</v>
      </c>
      <c r="L42" s="178">
        <f t="shared" si="2"/>
        <v>-60724350</v>
      </c>
      <c r="M42" s="163">
        <f t="shared" si="3"/>
        <v>0.8466411650102789</v>
      </c>
      <c r="N42" s="30"/>
    </row>
    <row r="43" spans="1:14" s="31" customFormat="1" ht="15" hidden="1" outlineLevel="1">
      <c r="A43" s="32" t="s">
        <v>47</v>
      </c>
      <c r="B43" s="17">
        <f>+SUM(B44:B45)</f>
        <v>330426430</v>
      </c>
      <c r="C43" s="21"/>
      <c r="D43" s="21"/>
      <c r="E43" s="21"/>
      <c r="F43" s="17">
        <f>+SUM(F44:F45)</f>
        <v>330426430</v>
      </c>
      <c r="G43" s="21"/>
      <c r="H43" s="17">
        <f>+SUM(H44:H45)</f>
        <v>330426430</v>
      </c>
      <c r="I43" s="17"/>
      <c r="J43" s="156">
        <f t="shared" si="1"/>
        <v>330426430</v>
      </c>
      <c r="K43" s="17">
        <f>+SUM(K44:K45)</f>
        <v>271197514</v>
      </c>
      <c r="L43" s="178">
        <f t="shared" si="2"/>
        <v>-59228916</v>
      </c>
      <c r="M43" s="165">
        <f t="shared" si="3"/>
        <v>0.8207500653019796</v>
      </c>
      <c r="N43" s="30"/>
    </row>
    <row r="44" spans="1:14" s="31" customFormat="1" ht="15.75" hidden="1" outlineLevel="2">
      <c r="A44" s="32" t="s">
        <v>48</v>
      </c>
      <c r="B44" s="17">
        <v>183448988</v>
      </c>
      <c r="C44" s="21"/>
      <c r="D44" s="21"/>
      <c r="E44" s="21"/>
      <c r="F44" s="17">
        <f aca="true" t="shared" si="9" ref="F44:F54">+B44+C44+D44+E44</f>
        <v>183448988</v>
      </c>
      <c r="G44" s="21"/>
      <c r="H44" s="12">
        <f>+F44</f>
        <v>183448988</v>
      </c>
      <c r="I44" s="12"/>
      <c r="J44" s="154">
        <f t="shared" si="1"/>
        <v>183448988</v>
      </c>
      <c r="K44" s="179">
        <f>+'[5]ECO OCT-DIC-09'!$G$152</f>
        <v>177447711.2</v>
      </c>
      <c r="L44" s="178">
        <f t="shared" si="2"/>
        <v>-6001276.800000012</v>
      </c>
      <c r="M44" s="162">
        <f t="shared" si="3"/>
        <v>0.9672864000754258</v>
      </c>
      <c r="N44" s="30"/>
    </row>
    <row r="45" spans="1:14" s="31" customFormat="1" ht="15.75" hidden="1" outlineLevel="2">
      <c r="A45" s="32" t="s">
        <v>49</v>
      </c>
      <c r="B45" s="17">
        <v>146977442</v>
      </c>
      <c r="C45" s="21"/>
      <c r="D45" s="21"/>
      <c r="E45" s="21"/>
      <c r="F45" s="17">
        <f t="shared" si="9"/>
        <v>146977442</v>
      </c>
      <c r="G45" s="21"/>
      <c r="H45" s="12">
        <f>+F45</f>
        <v>146977442</v>
      </c>
      <c r="I45" s="12"/>
      <c r="J45" s="154">
        <f t="shared" si="1"/>
        <v>146977442</v>
      </c>
      <c r="K45" s="179">
        <f>+'[5]ECO OCT-DIC-09'!$G$306</f>
        <v>93749802.8</v>
      </c>
      <c r="L45" s="178">
        <f t="shared" si="2"/>
        <v>-53227639.2</v>
      </c>
      <c r="M45" s="162">
        <f t="shared" si="3"/>
        <v>0.6378516425670274</v>
      </c>
      <c r="N45" s="30"/>
    </row>
    <row r="46" spans="1:14" s="31" customFormat="1" ht="15" hidden="1" outlineLevel="1" collapsed="1">
      <c r="A46" s="33" t="s">
        <v>50</v>
      </c>
      <c r="B46" s="12">
        <f>35384283+2700000</f>
        <v>38084283</v>
      </c>
      <c r="C46" s="21"/>
      <c r="D46" s="21"/>
      <c r="E46" s="21"/>
      <c r="F46" s="17">
        <f t="shared" si="9"/>
        <v>38084283</v>
      </c>
      <c r="G46" s="21"/>
      <c r="H46" s="12">
        <f aca="true" t="shared" si="10" ref="H46:H63">+G46+F46</f>
        <v>38084283</v>
      </c>
      <c r="I46" s="12"/>
      <c r="J46" s="154">
        <f t="shared" si="1"/>
        <v>38084283</v>
      </c>
      <c r="K46" s="12">
        <v>37461800</v>
      </c>
      <c r="L46" s="178">
        <f t="shared" si="2"/>
        <v>-622483</v>
      </c>
      <c r="M46" s="162">
        <f t="shared" si="3"/>
        <v>0.9836551209326955</v>
      </c>
      <c r="N46" s="30"/>
    </row>
    <row r="47" spans="1:14" s="31" customFormat="1" ht="15" hidden="1" outlineLevel="1">
      <c r="A47" s="33" t="s">
        <v>51</v>
      </c>
      <c r="B47" s="12">
        <v>14435552</v>
      </c>
      <c r="C47" s="21"/>
      <c r="D47" s="21"/>
      <c r="E47" s="21"/>
      <c r="F47" s="17">
        <f t="shared" si="9"/>
        <v>14435552</v>
      </c>
      <c r="G47" s="21"/>
      <c r="H47" s="12">
        <f t="shared" si="10"/>
        <v>14435552</v>
      </c>
      <c r="I47" s="12"/>
      <c r="J47" s="154">
        <f t="shared" si="1"/>
        <v>14435552</v>
      </c>
      <c r="K47" s="12">
        <v>13940610</v>
      </c>
      <c r="L47" s="178">
        <f t="shared" si="2"/>
        <v>-494942</v>
      </c>
      <c r="M47" s="162">
        <f t="shared" si="3"/>
        <v>0.9657136768999204</v>
      </c>
      <c r="N47" s="30"/>
    </row>
    <row r="48" spans="1:14" s="31" customFormat="1" ht="15" hidden="1" outlineLevel="1">
      <c r="A48" s="33" t="s">
        <v>52</v>
      </c>
      <c r="B48" s="17">
        <f>13520000-44000-2700000</f>
        <v>10776000</v>
      </c>
      <c r="C48" s="21"/>
      <c r="D48" s="21"/>
      <c r="E48" s="21"/>
      <c r="F48" s="17">
        <f t="shared" si="9"/>
        <v>10776000</v>
      </c>
      <c r="G48" s="21"/>
      <c r="H48" s="12">
        <f>+G48+F48</f>
        <v>10776000</v>
      </c>
      <c r="I48" s="12"/>
      <c r="J48" s="154">
        <f t="shared" si="1"/>
        <v>10776000</v>
      </c>
      <c r="K48" s="12">
        <v>10397991</v>
      </c>
      <c r="L48" s="178">
        <f t="shared" si="2"/>
        <v>-378009</v>
      </c>
      <c r="M48" s="162">
        <f t="shared" si="3"/>
        <v>0.9649212138084633</v>
      </c>
      <c r="N48" s="30"/>
    </row>
    <row r="49" spans="1:14" s="31" customFormat="1" ht="15" hidden="1" outlineLevel="1">
      <c r="A49" s="33" t="s">
        <v>53</v>
      </c>
      <c r="B49" s="17">
        <v>1196250</v>
      </c>
      <c r="C49" s="21"/>
      <c r="D49" s="21"/>
      <c r="E49" s="21"/>
      <c r="F49" s="17">
        <f t="shared" si="9"/>
        <v>1196250</v>
      </c>
      <c r="G49" s="21"/>
      <c r="H49" s="12">
        <f t="shared" si="10"/>
        <v>1196250</v>
      </c>
      <c r="I49" s="12"/>
      <c r="J49" s="154">
        <f t="shared" si="1"/>
        <v>1196250</v>
      </c>
      <c r="K49" s="12">
        <v>1196250</v>
      </c>
      <c r="L49" s="178">
        <f t="shared" si="2"/>
        <v>0</v>
      </c>
      <c r="M49" s="162">
        <f t="shared" si="3"/>
        <v>1</v>
      </c>
      <c r="N49" s="30"/>
    </row>
    <row r="50" spans="1:14" s="31" customFormat="1" ht="15" hidden="1" outlineLevel="1">
      <c r="A50" s="33" t="s">
        <v>54</v>
      </c>
      <c r="B50" s="17">
        <f>1000000+44000</f>
        <v>1044000</v>
      </c>
      <c r="C50" s="21"/>
      <c r="D50" s="21"/>
      <c r="E50" s="21"/>
      <c r="F50" s="17">
        <f t="shared" si="9"/>
        <v>1044000</v>
      </c>
      <c r="G50" s="21"/>
      <c r="H50" s="12">
        <f t="shared" si="10"/>
        <v>1044000</v>
      </c>
      <c r="I50" s="12"/>
      <c r="J50" s="154">
        <f t="shared" si="1"/>
        <v>1044000</v>
      </c>
      <c r="K50" s="12">
        <v>1044000</v>
      </c>
      <c r="L50" s="178">
        <f t="shared" si="2"/>
        <v>0</v>
      </c>
      <c r="M50" s="162">
        <f t="shared" si="3"/>
        <v>1</v>
      </c>
      <c r="N50" s="30"/>
    </row>
    <row r="51" spans="1:14" s="31" customFormat="1" ht="15" collapsed="1">
      <c r="A51" s="29" t="s">
        <v>55</v>
      </c>
      <c r="B51" s="21">
        <f>+SUM(B52:B54)</f>
        <v>24391137</v>
      </c>
      <c r="C51" s="21"/>
      <c r="D51" s="21"/>
      <c r="E51" s="21"/>
      <c r="F51" s="21">
        <f>+SUM(F52:F54)</f>
        <v>24391137</v>
      </c>
      <c r="G51" s="21"/>
      <c r="H51" s="21">
        <f>+SUM(H52:H54)</f>
        <v>24391137</v>
      </c>
      <c r="I51" s="21"/>
      <c r="J51" s="155">
        <f t="shared" si="1"/>
        <v>24391137</v>
      </c>
      <c r="K51" s="21">
        <f>+SUM(K52:K54)</f>
        <v>23369650</v>
      </c>
      <c r="L51" s="178">
        <f t="shared" si="2"/>
        <v>-1021487</v>
      </c>
      <c r="M51" s="163">
        <f t="shared" si="3"/>
        <v>0.9581205664992165</v>
      </c>
      <c r="N51" s="30"/>
    </row>
    <row r="52" spans="1:14" s="31" customFormat="1" ht="15" hidden="1" outlineLevel="2">
      <c r="A52" s="33" t="s">
        <v>56</v>
      </c>
      <c r="B52" s="12">
        <v>8198655</v>
      </c>
      <c r="C52" s="21"/>
      <c r="D52" s="21"/>
      <c r="E52" s="21"/>
      <c r="F52" s="12">
        <f t="shared" si="9"/>
        <v>8198655</v>
      </c>
      <c r="G52" s="21"/>
      <c r="H52" s="12">
        <f t="shared" si="10"/>
        <v>8198655</v>
      </c>
      <c r="I52" s="12"/>
      <c r="J52" s="154">
        <f t="shared" si="1"/>
        <v>8198655</v>
      </c>
      <c r="K52" s="12">
        <v>8198850</v>
      </c>
      <c r="L52" s="178">
        <f t="shared" si="2"/>
        <v>195</v>
      </c>
      <c r="M52" s="162">
        <f t="shared" si="3"/>
        <v>1.0000237843890247</v>
      </c>
      <c r="N52" s="30"/>
    </row>
    <row r="53" spans="1:14" s="31" customFormat="1" ht="15" hidden="1" outlineLevel="2">
      <c r="A53" s="33" t="s">
        <v>57</v>
      </c>
      <c r="B53" s="12">
        <v>2492082</v>
      </c>
      <c r="C53" s="21"/>
      <c r="D53" s="21"/>
      <c r="E53" s="21"/>
      <c r="F53" s="12">
        <f t="shared" si="9"/>
        <v>2492082</v>
      </c>
      <c r="G53" s="21"/>
      <c r="H53" s="12">
        <f t="shared" si="10"/>
        <v>2492082</v>
      </c>
      <c r="I53" s="12"/>
      <c r="J53" s="154">
        <f t="shared" si="1"/>
        <v>2492082</v>
      </c>
      <c r="K53" s="12">
        <v>0</v>
      </c>
      <c r="L53" s="178">
        <f t="shared" si="2"/>
        <v>-2492082</v>
      </c>
      <c r="M53" s="162">
        <f t="shared" si="3"/>
        <v>0</v>
      </c>
      <c r="N53" s="30"/>
    </row>
    <row r="54" spans="1:14" s="31" customFormat="1" ht="15" hidden="1" outlineLevel="2">
      <c r="A54" s="33" t="s">
        <v>58</v>
      </c>
      <c r="B54" s="12">
        <v>13700400</v>
      </c>
      <c r="C54" s="21"/>
      <c r="D54" s="21"/>
      <c r="E54" s="21"/>
      <c r="F54" s="12">
        <f t="shared" si="9"/>
        <v>13700400</v>
      </c>
      <c r="G54" s="21"/>
      <c r="H54" s="12">
        <f t="shared" si="10"/>
        <v>13700400</v>
      </c>
      <c r="I54" s="12"/>
      <c r="J54" s="154">
        <f t="shared" si="1"/>
        <v>13700400</v>
      </c>
      <c r="K54" s="12">
        <v>15170800</v>
      </c>
      <c r="L54" s="178">
        <f t="shared" si="2"/>
        <v>1470400</v>
      </c>
      <c r="M54" s="162">
        <f t="shared" si="3"/>
        <v>1.107325333566903</v>
      </c>
      <c r="N54" s="30"/>
    </row>
    <row r="55" spans="1:14" s="31" customFormat="1" ht="15" collapsed="1">
      <c r="A55" s="29" t="s">
        <v>59</v>
      </c>
      <c r="B55" s="21">
        <f>+SUM(B56:B58)</f>
        <v>26939881</v>
      </c>
      <c r="C55" s="12"/>
      <c r="D55" s="12"/>
      <c r="E55" s="21"/>
      <c r="F55" s="21">
        <f>+SUM(F56:F58)</f>
        <v>26939881</v>
      </c>
      <c r="G55" s="9"/>
      <c r="H55" s="21">
        <f>+SUM(H56:H58)</f>
        <v>26939881</v>
      </c>
      <c r="I55" s="21"/>
      <c r="J55" s="155">
        <f t="shared" si="1"/>
        <v>26939881</v>
      </c>
      <c r="K55" s="21">
        <f>+SUM(K56:K58)</f>
        <v>25847071.4</v>
      </c>
      <c r="L55" s="178">
        <f t="shared" si="2"/>
        <v>-1092809.6000000015</v>
      </c>
      <c r="M55" s="163">
        <f t="shared" si="3"/>
        <v>0.9594352476909604</v>
      </c>
      <c r="N55" s="30"/>
    </row>
    <row r="56" spans="1:14" s="31" customFormat="1" ht="15.75" hidden="1" outlineLevel="1">
      <c r="A56" s="34" t="s">
        <v>60</v>
      </c>
      <c r="B56" s="12">
        <v>17479151</v>
      </c>
      <c r="C56" s="12"/>
      <c r="D56" s="12"/>
      <c r="E56" s="12"/>
      <c r="F56" s="12">
        <f>+B56+C56+D56+E56</f>
        <v>17479151</v>
      </c>
      <c r="G56" s="12"/>
      <c r="H56" s="12">
        <f t="shared" si="10"/>
        <v>17479151</v>
      </c>
      <c r="I56" s="12"/>
      <c r="J56" s="154">
        <f t="shared" si="1"/>
        <v>17479151</v>
      </c>
      <c r="K56" s="179">
        <f>+'[5]ECO OCT-DIC-09'!$G$570</f>
        <v>17479137</v>
      </c>
      <c r="L56" s="178">
        <f t="shared" si="2"/>
        <v>-14</v>
      </c>
      <c r="M56" s="162">
        <f t="shared" si="3"/>
        <v>0.9999991990457661</v>
      </c>
      <c r="N56" s="30"/>
    </row>
    <row r="57" spans="1:14" s="31" customFormat="1" ht="15.75" hidden="1" outlineLevel="1">
      <c r="A57" s="34" t="s">
        <v>61</v>
      </c>
      <c r="B57" s="12">
        <v>9460730</v>
      </c>
      <c r="C57" s="12"/>
      <c r="D57" s="12"/>
      <c r="E57" s="12"/>
      <c r="F57" s="12">
        <f>+B57+C57+D57+E57</f>
        <v>9460730</v>
      </c>
      <c r="G57" s="12"/>
      <c r="H57" s="12">
        <f t="shared" si="10"/>
        <v>9460730</v>
      </c>
      <c r="I57" s="12"/>
      <c r="J57" s="154">
        <f t="shared" si="1"/>
        <v>9460730</v>
      </c>
      <c r="K57" s="179">
        <f>+'[5]ECO OCT-DIC-09'!$G$609</f>
        <v>8367934.4</v>
      </c>
      <c r="L57" s="178">
        <f t="shared" si="2"/>
        <v>-1092795.5999999996</v>
      </c>
      <c r="M57" s="162">
        <f t="shared" si="3"/>
        <v>0.8844914081682915</v>
      </c>
      <c r="N57" s="30"/>
    </row>
    <row r="58" spans="1:14" s="31" customFormat="1" ht="30" hidden="1" outlineLevel="1">
      <c r="A58" s="35" t="s">
        <v>62</v>
      </c>
      <c r="B58" s="12">
        <v>0</v>
      </c>
      <c r="C58" s="12"/>
      <c r="D58" s="12"/>
      <c r="E58" s="12"/>
      <c r="F58" s="12">
        <f>+B58+C58+D58+E58</f>
        <v>0</v>
      </c>
      <c r="G58" s="12"/>
      <c r="H58" s="12">
        <f t="shared" si="10"/>
        <v>0</v>
      </c>
      <c r="I58" s="12"/>
      <c r="J58" s="154">
        <f t="shared" si="1"/>
        <v>0</v>
      </c>
      <c r="K58" s="179">
        <f>+'[5]ECO OCT-DIC-09'!$G$623</f>
        <v>0</v>
      </c>
      <c r="L58" s="178">
        <f t="shared" si="2"/>
        <v>0</v>
      </c>
      <c r="M58" s="162" t="e">
        <f t="shared" si="3"/>
        <v>#DIV/0!</v>
      </c>
      <c r="N58" s="30"/>
    </row>
    <row r="59" spans="1:14" s="31" customFormat="1" ht="15" collapsed="1">
      <c r="A59" s="29" t="s">
        <v>63</v>
      </c>
      <c r="B59" s="9">
        <f>+SUM(B60:B63)</f>
        <v>19579552</v>
      </c>
      <c r="C59" s="9"/>
      <c r="D59" s="9"/>
      <c r="E59" s="9"/>
      <c r="F59" s="9">
        <f>+SUM(F60:F63)</f>
        <v>19579552</v>
      </c>
      <c r="G59" s="9"/>
      <c r="H59" s="9">
        <f>+SUM(H60:H63)</f>
        <v>19579552</v>
      </c>
      <c r="I59" s="9"/>
      <c r="J59" s="153">
        <f t="shared" si="1"/>
        <v>19579552</v>
      </c>
      <c r="K59" s="9">
        <f>+SUM(K60:K63)</f>
        <v>19558021</v>
      </c>
      <c r="L59" s="178">
        <f t="shared" si="2"/>
        <v>-21531</v>
      </c>
      <c r="M59" s="164">
        <f t="shared" si="3"/>
        <v>0.9989003323467258</v>
      </c>
      <c r="N59" s="36"/>
    </row>
    <row r="60" spans="1:14" s="31" customFormat="1" ht="15.75" hidden="1" outlineLevel="1">
      <c r="A60" s="34" t="s">
        <v>64</v>
      </c>
      <c r="B60" s="17">
        <f>12058837+161163</f>
        <v>12220000</v>
      </c>
      <c r="C60" s="9"/>
      <c r="D60" s="9"/>
      <c r="E60" s="9"/>
      <c r="F60" s="12">
        <f>+B60+C60+D60+E60</f>
        <v>12220000</v>
      </c>
      <c r="G60" s="17"/>
      <c r="H60" s="12">
        <f t="shared" si="10"/>
        <v>12220000</v>
      </c>
      <c r="I60" s="12"/>
      <c r="J60" s="154">
        <f t="shared" si="1"/>
        <v>12220000</v>
      </c>
      <c r="K60" s="179">
        <f>+'[5]ECO OCT-DIC-09'!$G$628</f>
        <v>12220000</v>
      </c>
      <c r="L60" s="178">
        <f t="shared" si="2"/>
        <v>0</v>
      </c>
      <c r="M60" s="162">
        <f t="shared" si="3"/>
        <v>1</v>
      </c>
      <c r="N60" s="30"/>
    </row>
    <row r="61" spans="1:14" s="31" customFormat="1" ht="15.75" hidden="1" outlineLevel="1">
      <c r="A61" s="34" t="s">
        <v>65</v>
      </c>
      <c r="B61" s="17">
        <v>5888411</v>
      </c>
      <c r="C61" s="9"/>
      <c r="D61" s="9"/>
      <c r="E61" s="9"/>
      <c r="F61" s="12">
        <f>+B61+C61+D61+E61</f>
        <v>5888411</v>
      </c>
      <c r="G61" s="17"/>
      <c r="H61" s="12">
        <f t="shared" si="10"/>
        <v>5888411</v>
      </c>
      <c r="I61" s="12"/>
      <c r="J61" s="154">
        <f t="shared" si="1"/>
        <v>5888411</v>
      </c>
      <c r="K61" s="179">
        <f>+'[5]ECO OCT-DIC-09'!$G$634</f>
        <v>5879182</v>
      </c>
      <c r="L61" s="178">
        <f t="shared" si="2"/>
        <v>-9229</v>
      </c>
      <c r="M61" s="162">
        <f t="shared" si="3"/>
        <v>0.9984326841315934</v>
      </c>
      <c r="N61" s="30"/>
    </row>
    <row r="62" spans="1:14" s="31" customFormat="1" ht="15.75" hidden="1" outlineLevel="1">
      <c r="A62" s="37" t="s">
        <v>66</v>
      </c>
      <c r="B62" s="17">
        <v>2482</v>
      </c>
      <c r="C62" s="9"/>
      <c r="D62" s="9"/>
      <c r="E62" s="9"/>
      <c r="F62" s="12">
        <f>+B62+C62+D62+E62</f>
        <v>2482</v>
      </c>
      <c r="G62" s="17"/>
      <c r="H62" s="12">
        <f t="shared" si="10"/>
        <v>2482</v>
      </c>
      <c r="I62" s="12"/>
      <c r="J62" s="154">
        <f t="shared" si="1"/>
        <v>2482</v>
      </c>
      <c r="K62" s="179">
        <f>+'[5]ECO OCT-DIC-09'!$G$657</f>
        <v>0</v>
      </c>
      <c r="L62" s="178">
        <f t="shared" si="2"/>
        <v>-2482</v>
      </c>
      <c r="M62" s="162">
        <f t="shared" si="3"/>
        <v>0</v>
      </c>
      <c r="N62" s="30"/>
    </row>
    <row r="63" spans="1:14" s="31" customFormat="1" ht="15.75" hidden="1" outlineLevel="1">
      <c r="A63" s="38" t="s">
        <v>67</v>
      </c>
      <c r="B63" s="17">
        <f>1629822-161163</f>
        <v>1468659</v>
      </c>
      <c r="C63" s="9"/>
      <c r="D63" s="9"/>
      <c r="E63" s="9"/>
      <c r="F63" s="12">
        <f>+B63+C63+D63+E63</f>
        <v>1468659</v>
      </c>
      <c r="G63" s="17"/>
      <c r="H63" s="12">
        <f t="shared" si="10"/>
        <v>1468659</v>
      </c>
      <c r="I63" s="12"/>
      <c r="J63" s="154">
        <f t="shared" si="1"/>
        <v>1468659</v>
      </c>
      <c r="K63" s="180">
        <f>+'[5]ECO OCT-DIC-09'!$G$661</f>
        <v>1458839</v>
      </c>
      <c r="L63" s="178">
        <f t="shared" si="2"/>
        <v>-9820</v>
      </c>
      <c r="M63" s="162">
        <f t="shared" si="3"/>
        <v>0.9933136282826714</v>
      </c>
      <c r="N63" s="30"/>
    </row>
    <row r="64" spans="1:14" s="31" customFormat="1" ht="15" collapsed="1">
      <c r="A64" s="34"/>
      <c r="B64" s="12"/>
      <c r="C64" s="21"/>
      <c r="D64" s="21"/>
      <c r="E64" s="21"/>
      <c r="F64" s="12"/>
      <c r="G64" s="21"/>
      <c r="H64" s="12"/>
      <c r="I64" s="12"/>
      <c r="J64" s="154"/>
      <c r="K64" s="154"/>
      <c r="L64" s="153"/>
      <c r="M64" s="162"/>
      <c r="N64" s="30"/>
    </row>
    <row r="65" spans="1:14" ht="15">
      <c r="A65" s="4" t="s">
        <v>68</v>
      </c>
      <c r="B65" s="21"/>
      <c r="C65" s="12"/>
      <c r="D65" s="12"/>
      <c r="E65" s="9">
        <f>+E66+E72+E80+E88+E97+E106</f>
        <v>827966568</v>
      </c>
      <c r="F65" s="9">
        <f>+F66+F72+F80+F88+F97+F106</f>
        <v>827966568</v>
      </c>
      <c r="G65" s="12"/>
      <c r="H65" s="9">
        <f>+H66+H72+H80+H88+H97+H106</f>
        <v>827966568</v>
      </c>
      <c r="I65" s="9"/>
      <c r="J65" s="153">
        <f t="shared" si="1"/>
        <v>827966568</v>
      </c>
      <c r="K65" s="153">
        <f>+K66+K72+K80+K88+K97+K106</f>
        <v>741859093.4</v>
      </c>
      <c r="L65" s="153">
        <f t="shared" si="2"/>
        <v>-86107474.60000002</v>
      </c>
      <c r="M65" s="164">
        <f t="shared" si="3"/>
        <v>0.8960012663216614</v>
      </c>
      <c r="N65" s="1"/>
    </row>
    <row r="66" spans="1:14" ht="15">
      <c r="A66" s="29" t="s">
        <v>69</v>
      </c>
      <c r="B66" s="21"/>
      <c r="C66" s="12"/>
      <c r="D66" s="12"/>
      <c r="E66" s="9">
        <f>SUM(E67:E71)</f>
        <v>60480040</v>
      </c>
      <c r="F66" s="21">
        <f>SUM(F67:F71)</f>
        <v>60480040</v>
      </c>
      <c r="G66" s="12"/>
      <c r="H66" s="21">
        <f>SUM(H67:H71)</f>
        <v>60480040</v>
      </c>
      <c r="I66" s="21"/>
      <c r="J66" s="155">
        <f t="shared" si="1"/>
        <v>60480040</v>
      </c>
      <c r="K66" s="21">
        <f>SUM(K67:K71)</f>
        <v>58730040</v>
      </c>
      <c r="L66" s="153">
        <f t="shared" si="2"/>
        <v>-1750000</v>
      </c>
      <c r="M66" s="163">
        <f t="shared" si="3"/>
        <v>0.9710648339518294</v>
      </c>
      <c r="N66" s="1"/>
    </row>
    <row r="67" spans="1:14" ht="15.75" hidden="1" outlineLevel="1">
      <c r="A67" s="39" t="s">
        <v>70</v>
      </c>
      <c r="B67" s="21"/>
      <c r="C67" s="12"/>
      <c r="D67" s="12"/>
      <c r="E67" s="17">
        <v>31980040</v>
      </c>
      <c r="F67" s="12">
        <f>SUM(B67:E67)</f>
        <v>31980040</v>
      </c>
      <c r="G67" s="12"/>
      <c r="H67" s="12">
        <f aca="true" t="shared" si="11" ref="H67:H110">+G67+F67</f>
        <v>31980040</v>
      </c>
      <c r="I67" s="12"/>
      <c r="J67" s="154">
        <f t="shared" si="1"/>
        <v>31980040</v>
      </c>
      <c r="K67" s="181">
        <f>+'[5]MER OCT-DIC-09'!$G$129</f>
        <v>31980040</v>
      </c>
      <c r="L67" s="153">
        <f t="shared" si="2"/>
        <v>0</v>
      </c>
      <c r="M67" s="162">
        <f t="shared" si="3"/>
        <v>1</v>
      </c>
      <c r="N67" s="1"/>
    </row>
    <row r="68" spans="1:14" ht="15.75" hidden="1" outlineLevel="1">
      <c r="A68" s="39" t="s">
        <v>71</v>
      </c>
      <c r="B68" s="21"/>
      <c r="C68" s="12"/>
      <c r="D68" s="12"/>
      <c r="E68" s="17">
        <v>28500000</v>
      </c>
      <c r="F68" s="12">
        <f>SUM(B68:E68)</f>
        <v>28500000</v>
      </c>
      <c r="G68" s="12"/>
      <c r="H68" s="12">
        <f t="shared" si="11"/>
        <v>28500000</v>
      </c>
      <c r="I68" s="12"/>
      <c r="J68" s="154">
        <f t="shared" si="1"/>
        <v>28500000</v>
      </c>
      <c r="K68" s="181">
        <f>+'[5]MER OCT-DIC-09'!$G$133</f>
        <v>26750000</v>
      </c>
      <c r="L68" s="153">
        <f t="shared" si="2"/>
        <v>-1750000</v>
      </c>
      <c r="M68" s="162">
        <f t="shared" si="3"/>
        <v>0.9385964912280702</v>
      </c>
      <c r="N68" s="1"/>
    </row>
    <row r="69" spans="1:14" ht="15.75" hidden="1" outlineLevel="1">
      <c r="A69" s="39" t="s">
        <v>72</v>
      </c>
      <c r="B69" s="21"/>
      <c r="C69" s="12"/>
      <c r="D69" s="12"/>
      <c r="E69" s="12">
        <v>0</v>
      </c>
      <c r="F69" s="12">
        <f>SUM(B69:E69)</f>
        <v>0</v>
      </c>
      <c r="G69" s="12"/>
      <c r="H69" s="12">
        <f t="shared" si="11"/>
        <v>0</v>
      </c>
      <c r="I69" s="12"/>
      <c r="J69" s="154">
        <f t="shared" si="1"/>
        <v>0</v>
      </c>
      <c r="K69" s="181">
        <f>+'[5]MER OCT-DIC-09'!$G$137</f>
        <v>0</v>
      </c>
      <c r="L69" s="153">
        <f t="shared" si="2"/>
        <v>0</v>
      </c>
      <c r="M69" s="162" t="e">
        <f t="shared" si="3"/>
        <v>#DIV/0!</v>
      </c>
      <c r="N69" s="1"/>
    </row>
    <row r="70" spans="1:14" ht="15.75" hidden="1" outlineLevel="1">
      <c r="A70" s="39" t="s">
        <v>73</v>
      </c>
      <c r="B70" s="21"/>
      <c r="C70" s="12"/>
      <c r="D70" s="12"/>
      <c r="E70" s="12">
        <v>0</v>
      </c>
      <c r="F70" s="12">
        <f>SUM(B70:E70)</f>
        <v>0</v>
      </c>
      <c r="G70" s="12"/>
      <c r="H70" s="12">
        <f t="shared" si="11"/>
        <v>0</v>
      </c>
      <c r="I70" s="12"/>
      <c r="J70" s="154">
        <f t="shared" si="1"/>
        <v>0</v>
      </c>
      <c r="K70" s="181">
        <f>+'[5]MER OCT-DIC-09'!$G$141</f>
        <v>0</v>
      </c>
      <c r="L70" s="153">
        <f t="shared" si="2"/>
        <v>0</v>
      </c>
      <c r="M70" s="162" t="e">
        <f t="shared" si="3"/>
        <v>#DIV/0!</v>
      </c>
      <c r="N70" s="1"/>
    </row>
    <row r="71" spans="1:14" ht="30" hidden="1" outlineLevel="1">
      <c r="A71" s="40" t="s">
        <v>74</v>
      </c>
      <c r="B71" s="21"/>
      <c r="C71" s="12"/>
      <c r="D71" s="12"/>
      <c r="E71" s="12">
        <v>0</v>
      </c>
      <c r="F71" s="12">
        <f>SUM(B71:E71)</f>
        <v>0</v>
      </c>
      <c r="G71" s="12"/>
      <c r="H71" s="12">
        <f t="shared" si="11"/>
        <v>0</v>
      </c>
      <c r="I71" s="12"/>
      <c r="J71" s="154">
        <f t="shared" si="1"/>
        <v>0</v>
      </c>
      <c r="K71" s="181">
        <f>+'[5]MER OCT-DIC-09'!$G$145</f>
        <v>0</v>
      </c>
      <c r="L71" s="153">
        <f t="shared" si="2"/>
        <v>0</v>
      </c>
      <c r="M71" s="162" t="e">
        <f t="shared" si="3"/>
        <v>#DIV/0!</v>
      </c>
      <c r="N71" s="1"/>
    </row>
    <row r="72" spans="1:14" ht="17.25" customHeight="1" collapsed="1">
      <c r="A72" s="41" t="s">
        <v>75</v>
      </c>
      <c r="B72" s="21"/>
      <c r="C72" s="12"/>
      <c r="D72" s="12"/>
      <c r="E72" s="9">
        <f>SUM(E73:E79)</f>
        <v>34489959</v>
      </c>
      <c r="F72" s="21">
        <f>SUM(F73:F79)</f>
        <v>34489959</v>
      </c>
      <c r="G72" s="12"/>
      <c r="H72" s="21">
        <f>SUM(H73:H79)</f>
        <v>34489959</v>
      </c>
      <c r="I72" s="21"/>
      <c r="J72" s="155">
        <f t="shared" si="1"/>
        <v>34489959</v>
      </c>
      <c r="K72" s="21">
        <f>SUM(K73:K79)</f>
        <v>27600694</v>
      </c>
      <c r="L72" s="153">
        <f t="shared" si="2"/>
        <v>-6889265</v>
      </c>
      <c r="M72" s="163">
        <f t="shared" si="3"/>
        <v>0.8002530243657292</v>
      </c>
      <c r="N72" s="1"/>
    </row>
    <row r="73" spans="1:14" ht="15" hidden="1" outlineLevel="1">
      <c r="A73" s="39" t="s">
        <v>76</v>
      </c>
      <c r="B73" s="21"/>
      <c r="C73" s="12"/>
      <c r="D73" s="12"/>
      <c r="E73" s="17">
        <v>27489959</v>
      </c>
      <c r="F73" s="12">
        <f>SUM(B73:E73)</f>
        <v>27489959</v>
      </c>
      <c r="G73" s="12"/>
      <c r="H73" s="12">
        <f>+G73+F73</f>
        <v>27489959</v>
      </c>
      <c r="I73" s="12"/>
      <c r="J73" s="154">
        <f aca="true" t="shared" si="12" ref="J73:J110">+H73+I73</f>
        <v>27489959</v>
      </c>
      <c r="K73" s="154">
        <v>21118511</v>
      </c>
      <c r="L73" s="153">
        <f aca="true" t="shared" si="13" ref="L73:L136">+K73-J73</f>
        <v>-6371448</v>
      </c>
      <c r="M73" s="162">
        <f aca="true" t="shared" si="14" ref="M73:M136">+K73/J73</f>
        <v>0.7682263549392707</v>
      </c>
      <c r="N73" s="1"/>
    </row>
    <row r="74" spans="1:14" ht="15" hidden="1" outlineLevel="1">
      <c r="A74" s="39" t="s">
        <v>77</v>
      </c>
      <c r="B74" s="21"/>
      <c r="C74" s="12"/>
      <c r="D74" s="12"/>
      <c r="E74" s="17">
        <v>7000000</v>
      </c>
      <c r="F74" s="12">
        <f aca="true" t="shared" si="15" ref="F74:F79">SUM(B74:E74)</f>
        <v>7000000</v>
      </c>
      <c r="G74" s="12"/>
      <c r="H74" s="12">
        <f t="shared" si="11"/>
        <v>7000000</v>
      </c>
      <c r="I74" s="12"/>
      <c r="J74" s="154">
        <f t="shared" si="12"/>
        <v>7000000</v>
      </c>
      <c r="K74" s="154">
        <v>6482183</v>
      </c>
      <c r="L74" s="153">
        <f t="shared" si="13"/>
        <v>-517817</v>
      </c>
      <c r="M74" s="162">
        <f t="shared" si="14"/>
        <v>0.9260261428571429</v>
      </c>
      <c r="N74" s="1"/>
    </row>
    <row r="75" spans="1:14" ht="15" hidden="1" outlineLevel="1">
      <c r="A75" s="39" t="s">
        <v>78</v>
      </c>
      <c r="B75" s="21"/>
      <c r="C75" s="12"/>
      <c r="D75" s="12"/>
      <c r="E75" s="12">
        <v>0</v>
      </c>
      <c r="F75" s="12">
        <f t="shared" si="15"/>
        <v>0</v>
      </c>
      <c r="G75" s="12"/>
      <c r="H75" s="12">
        <f t="shared" si="11"/>
        <v>0</v>
      </c>
      <c r="I75" s="12"/>
      <c r="J75" s="154">
        <f t="shared" si="12"/>
        <v>0</v>
      </c>
      <c r="K75" s="154">
        <v>0</v>
      </c>
      <c r="L75" s="153">
        <f t="shared" si="13"/>
        <v>0</v>
      </c>
      <c r="M75" s="162" t="e">
        <f t="shared" si="14"/>
        <v>#DIV/0!</v>
      </c>
      <c r="N75" s="1"/>
    </row>
    <row r="76" spans="1:14" ht="15" hidden="1" outlineLevel="1">
      <c r="A76" s="39" t="s">
        <v>79</v>
      </c>
      <c r="B76" s="21"/>
      <c r="C76" s="12"/>
      <c r="D76" s="12"/>
      <c r="E76" s="12">
        <v>0</v>
      </c>
      <c r="F76" s="12">
        <f t="shared" si="15"/>
        <v>0</v>
      </c>
      <c r="G76" s="12"/>
      <c r="H76" s="12">
        <f t="shared" si="11"/>
        <v>0</v>
      </c>
      <c r="I76" s="12"/>
      <c r="J76" s="154">
        <f t="shared" si="12"/>
        <v>0</v>
      </c>
      <c r="K76" s="154">
        <v>0</v>
      </c>
      <c r="L76" s="153">
        <f t="shared" si="13"/>
        <v>0</v>
      </c>
      <c r="M76" s="162" t="e">
        <f t="shared" si="14"/>
        <v>#DIV/0!</v>
      </c>
      <c r="N76" s="1"/>
    </row>
    <row r="77" spans="1:14" ht="15" hidden="1" outlineLevel="1">
      <c r="A77" s="39" t="s">
        <v>80</v>
      </c>
      <c r="B77" s="21"/>
      <c r="C77" s="12"/>
      <c r="D77" s="12"/>
      <c r="E77" s="12">
        <v>0</v>
      </c>
      <c r="F77" s="12">
        <f t="shared" si="15"/>
        <v>0</v>
      </c>
      <c r="G77" s="12"/>
      <c r="H77" s="12">
        <f t="shared" si="11"/>
        <v>0</v>
      </c>
      <c r="I77" s="12"/>
      <c r="J77" s="154">
        <f t="shared" si="12"/>
        <v>0</v>
      </c>
      <c r="K77" s="154">
        <v>0</v>
      </c>
      <c r="L77" s="153">
        <f t="shared" si="13"/>
        <v>0</v>
      </c>
      <c r="M77" s="162" t="e">
        <f t="shared" si="14"/>
        <v>#DIV/0!</v>
      </c>
      <c r="N77" s="1"/>
    </row>
    <row r="78" spans="1:14" ht="15" hidden="1" outlineLevel="1">
      <c r="A78" s="39" t="s">
        <v>81</v>
      </c>
      <c r="B78" s="21"/>
      <c r="C78" s="12"/>
      <c r="D78" s="12"/>
      <c r="E78" s="12">
        <v>0</v>
      </c>
      <c r="F78" s="12">
        <f t="shared" si="15"/>
        <v>0</v>
      </c>
      <c r="G78" s="12"/>
      <c r="H78" s="12">
        <f t="shared" si="11"/>
        <v>0</v>
      </c>
      <c r="I78" s="12"/>
      <c r="J78" s="154">
        <f t="shared" si="12"/>
        <v>0</v>
      </c>
      <c r="K78" s="154">
        <v>0</v>
      </c>
      <c r="L78" s="153">
        <f t="shared" si="13"/>
        <v>0</v>
      </c>
      <c r="M78" s="162" t="e">
        <f t="shared" si="14"/>
        <v>#DIV/0!</v>
      </c>
      <c r="N78" s="1"/>
    </row>
    <row r="79" spans="1:14" ht="15" hidden="1" outlineLevel="1">
      <c r="A79" s="39" t="s">
        <v>82</v>
      </c>
      <c r="B79" s="21"/>
      <c r="C79" s="12"/>
      <c r="D79" s="12"/>
      <c r="E79" s="12">
        <v>0</v>
      </c>
      <c r="F79" s="12">
        <f t="shared" si="15"/>
        <v>0</v>
      </c>
      <c r="G79" s="12"/>
      <c r="H79" s="12">
        <f t="shared" si="11"/>
        <v>0</v>
      </c>
      <c r="I79" s="12"/>
      <c r="J79" s="154">
        <f t="shared" si="12"/>
        <v>0</v>
      </c>
      <c r="K79" s="154">
        <v>0</v>
      </c>
      <c r="L79" s="153">
        <f t="shared" si="13"/>
        <v>0</v>
      </c>
      <c r="M79" s="162" t="e">
        <f t="shared" si="14"/>
        <v>#DIV/0!</v>
      </c>
      <c r="N79" s="1"/>
    </row>
    <row r="80" spans="1:14" ht="45" collapsed="1">
      <c r="A80" s="42" t="s">
        <v>83</v>
      </c>
      <c r="B80" s="21"/>
      <c r="C80" s="12"/>
      <c r="D80" s="12"/>
      <c r="E80" s="9">
        <f>SUM(E81:E87)</f>
        <v>99109607</v>
      </c>
      <c r="F80" s="21">
        <f>SUM(F81:F87)</f>
        <v>99109607</v>
      </c>
      <c r="G80" s="12"/>
      <c r="H80" s="21">
        <f>SUM(H81:H87)</f>
        <v>99109607</v>
      </c>
      <c r="I80" s="21"/>
      <c r="J80" s="155">
        <f t="shared" si="12"/>
        <v>99109607</v>
      </c>
      <c r="K80" s="21">
        <f>SUM(K81:K87)</f>
        <v>68715469.75999999</v>
      </c>
      <c r="L80" s="153">
        <f t="shared" si="13"/>
        <v>-30394137.24000001</v>
      </c>
      <c r="M80" s="163">
        <f t="shared" si="14"/>
        <v>0.6933280419525828</v>
      </c>
      <c r="N80" s="1"/>
    </row>
    <row r="81" spans="1:14" ht="15" hidden="1" outlineLevel="1">
      <c r="A81" s="39" t="s">
        <v>84</v>
      </c>
      <c r="B81" s="21"/>
      <c r="C81" s="12"/>
      <c r="D81" s="12"/>
      <c r="E81" s="17">
        <f>28455309-28455309</f>
        <v>0</v>
      </c>
      <c r="F81" s="12">
        <f aca="true" t="shared" si="16" ref="F81:F87">SUM(B81:E81)</f>
        <v>0</v>
      </c>
      <c r="G81" s="12"/>
      <c r="H81" s="12">
        <f t="shared" si="11"/>
        <v>0</v>
      </c>
      <c r="I81" s="12"/>
      <c r="J81" s="154">
        <f t="shared" si="12"/>
        <v>0</v>
      </c>
      <c r="K81" s="154">
        <v>0</v>
      </c>
      <c r="L81" s="153">
        <f t="shared" si="13"/>
        <v>0</v>
      </c>
      <c r="M81" s="162" t="e">
        <f t="shared" si="14"/>
        <v>#DIV/0!</v>
      </c>
      <c r="N81" s="1"/>
    </row>
    <row r="82" spans="1:14" ht="15" hidden="1" outlineLevel="1">
      <c r="A82" s="39" t="s">
        <v>85</v>
      </c>
      <c r="B82" s="21"/>
      <c r="C82" s="12"/>
      <c r="D82" s="12"/>
      <c r="E82" s="17">
        <f>610000+17281265+28455309</f>
        <v>46346574</v>
      </c>
      <c r="F82" s="12">
        <f t="shared" si="16"/>
        <v>46346574</v>
      </c>
      <c r="G82" s="12"/>
      <c r="H82" s="12">
        <f t="shared" si="11"/>
        <v>46346574</v>
      </c>
      <c r="I82" s="12"/>
      <c r="J82" s="154">
        <f t="shared" si="12"/>
        <v>46346574</v>
      </c>
      <c r="K82" s="154">
        <v>27625626.24</v>
      </c>
      <c r="L82" s="153">
        <f t="shared" si="13"/>
        <v>-18720947.76</v>
      </c>
      <c r="M82" s="162">
        <f t="shared" si="14"/>
        <v>0.5960661998446746</v>
      </c>
      <c r="N82" s="1"/>
    </row>
    <row r="83" spans="1:14" ht="15" hidden="1" outlineLevel="1">
      <c r="A83" s="39" t="s">
        <v>86</v>
      </c>
      <c r="B83" s="21"/>
      <c r="C83" s="12"/>
      <c r="D83" s="12"/>
      <c r="E83" s="17">
        <v>14500000</v>
      </c>
      <c r="F83" s="12">
        <f t="shared" si="16"/>
        <v>14500000</v>
      </c>
      <c r="G83" s="12"/>
      <c r="H83" s="12">
        <f t="shared" si="11"/>
        <v>14500000</v>
      </c>
      <c r="I83" s="12"/>
      <c r="J83" s="154">
        <f t="shared" si="12"/>
        <v>14500000</v>
      </c>
      <c r="K83" s="154">
        <v>13189843.2</v>
      </c>
      <c r="L83" s="153">
        <f t="shared" si="13"/>
        <v>-1310156.8000000007</v>
      </c>
      <c r="M83" s="162">
        <f t="shared" si="14"/>
        <v>0.9096443586206896</v>
      </c>
      <c r="N83" s="1"/>
    </row>
    <row r="84" spans="1:14" ht="15" hidden="1" outlineLevel="1">
      <c r="A84" s="39" t="s">
        <v>87</v>
      </c>
      <c r="B84" s="21"/>
      <c r="C84" s="12"/>
      <c r="D84" s="12"/>
      <c r="E84" s="17">
        <v>38263033</v>
      </c>
      <c r="F84" s="12">
        <f t="shared" si="16"/>
        <v>38263033</v>
      </c>
      <c r="G84" s="12"/>
      <c r="H84" s="12">
        <f t="shared" si="11"/>
        <v>38263033</v>
      </c>
      <c r="I84" s="12"/>
      <c r="J84" s="154">
        <f t="shared" si="12"/>
        <v>38263033</v>
      </c>
      <c r="K84" s="154">
        <v>27900000.32</v>
      </c>
      <c r="L84" s="153">
        <f t="shared" si="13"/>
        <v>-10363032.68</v>
      </c>
      <c r="M84" s="162">
        <f t="shared" si="14"/>
        <v>0.7291633237751958</v>
      </c>
      <c r="N84" s="1"/>
    </row>
    <row r="85" spans="1:14" ht="15" hidden="1" outlineLevel="1">
      <c r="A85" s="39" t="s">
        <v>88</v>
      </c>
      <c r="B85" s="21"/>
      <c r="C85" s="12"/>
      <c r="D85" s="12"/>
      <c r="E85" s="12">
        <v>0</v>
      </c>
      <c r="F85" s="12">
        <f t="shared" si="16"/>
        <v>0</v>
      </c>
      <c r="G85" s="12"/>
      <c r="H85" s="12">
        <f t="shared" si="11"/>
        <v>0</v>
      </c>
      <c r="I85" s="12"/>
      <c r="J85" s="154">
        <f t="shared" si="12"/>
        <v>0</v>
      </c>
      <c r="K85" s="154">
        <v>0</v>
      </c>
      <c r="L85" s="153">
        <f t="shared" si="13"/>
        <v>0</v>
      </c>
      <c r="M85" s="162" t="e">
        <f t="shared" si="14"/>
        <v>#DIV/0!</v>
      </c>
      <c r="N85" s="1"/>
    </row>
    <row r="86" spans="1:14" ht="15" hidden="1" outlineLevel="1">
      <c r="A86" s="39" t="s">
        <v>78</v>
      </c>
      <c r="B86" s="21"/>
      <c r="C86" s="12"/>
      <c r="D86" s="12"/>
      <c r="E86" s="12">
        <v>0</v>
      </c>
      <c r="F86" s="12">
        <f t="shared" si="16"/>
        <v>0</v>
      </c>
      <c r="G86" s="12"/>
      <c r="H86" s="12">
        <f t="shared" si="11"/>
        <v>0</v>
      </c>
      <c r="I86" s="12"/>
      <c r="J86" s="154">
        <f t="shared" si="12"/>
        <v>0</v>
      </c>
      <c r="K86" s="154">
        <v>0</v>
      </c>
      <c r="L86" s="153">
        <f t="shared" si="13"/>
        <v>0</v>
      </c>
      <c r="M86" s="162" t="e">
        <f t="shared" si="14"/>
        <v>#DIV/0!</v>
      </c>
      <c r="N86" s="1"/>
    </row>
    <row r="87" spans="1:14" ht="15" hidden="1" outlineLevel="1">
      <c r="A87" s="39" t="s">
        <v>89</v>
      </c>
      <c r="B87" s="21"/>
      <c r="C87" s="12"/>
      <c r="D87" s="12"/>
      <c r="E87" s="12">
        <v>0</v>
      </c>
      <c r="F87" s="12">
        <f t="shared" si="16"/>
        <v>0</v>
      </c>
      <c r="G87" s="12"/>
      <c r="H87" s="12">
        <f t="shared" si="11"/>
        <v>0</v>
      </c>
      <c r="I87" s="12"/>
      <c r="J87" s="154">
        <f t="shared" si="12"/>
        <v>0</v>
      </c>
      <c r="K87" s="154">
        <v>0</v>
      </c>
      <c r="L87" s="153">
        <f t="shared" si="13"/>
        <v>0</v>
      </c>
      <c r="M87" s="162" t="e">
        <f t="shared" si="14"/>
        <v>#DIV/0!</v>
      </c>
      <c r="N87" s="1"/>
    </row>
    <row r="88" spans="1:14" ht="15" collapsed="1">
      <c r="A88" s="41" t="s">
        <v>90</v>
      </c>
      <c r="B88" s="21"/>
      <c r="C88" s="12"/>
      <c r="D88" s="12"/>
      <c r="E88" s="9">
        <f>SUM(E89:E96)</f>
        <v>416584404</v>
      </c>
      <c r="F88" s="9">
        <f>SUM(F89:F96)</f>
        <v>416584404</v>
      </c>
      <c r="G88" s="12"/>
      <c r="H88" s="9">
        <f>SUM(H89:H96)</f>
        <v>416584404</v>
      </c>
      <c r="I88" s="9"/>
      <c r="J88" s="153">
        <f t="shared" si="12"/>
        <v>416584404</v>
      </c>
      <c r="K88" s="9">
        <f>SUM(K89:K96)</f>
        <v>397186324.52</v>
      </c>
      <c r="L88" s="153">
        <f t="shared" si="13"/>
        <v>-19398079.48000002</v>
      </c>
      <c r="M88" s="164">
        <f t="shared" si="14"/>
        <v>0.9534354159835517</v>
      </c>
      <c r="N88" s="1"/>
    </row>
    <row r="89" spans="1:14" ht="15" hidden="1" outlineLevel="1">
      <c r="A89" s="43" t="s">
        <v>91</v>
      </c>
      <c r="B89" s="21"/>
      <c r="C89" s="12"/>
      <c r="D89" s="12"/>
      <c r="E89" s="17">
        <v>17595115</v>
      </c>
      <c r="F89" s="12">
        <f aca="true" t="shared" si="17" ref="F89:F96">SUM(B89:E89)</f>
        <v>17595115</v>
      </c>
      <c r="G89" s="12"/>
      <c r="H89" s="12">
        <f t="shared" si="11"/>
        <v>17595115</v>
      </c>
      <c r="I89" s="12"/>
      <c r="J89" s="154">
        <f t="shared" si="12"/>
        <v>17595115</v>
      </c>
      <c r="K89" s="154">
        <v>25547164.52</v>
      </c>
      <c r="L89" s="153">
        <f t="shared" si="13"/>
        <v>7952049.52</v>
      </c>
      <c r="M89" s="162">
        <f t="shared" si="14"/>
        <v>1.451946436269385</v>
      </c>
      <c r="N89" s="1"/>
    </row>
    <row r="90" spans="1:14" ht="15" hidden="1" outlineLevel="1">
      <c r="A90" s="39" t="s">
        <v>92</v>
      </c>
      <c r="B90" s="21"/>
      <c r="C90" s="12"/>
      <c r="D90" s="12"/>
      <c r="E90" s="17">
        <v>20000000</v>
      </c>
      <c r="F90" s="12">
        <f t="shared" si="17"/>
        <v>20000000</v>
      </c>
      <c r="G90" s="12"/>
      <c r="H90" s="12">
        <f t="shared" si="11"/>
        <v>20000000</v>
      </c>
      <c r="I90" s="12"/>
      <c r="J90" s="154">
        <f t="shared" si="12"/>
        <v>20000000</v>
      </c>
      <c r="K90" s="154">
        <v>0</v>
      </c>
      <c r="L90" s="153">
        <f t="shared" si="13"/>
        <v>-20000000</v>
      </c>
      <c r="M90" s="162">
        <f t="shared" si="14"/>
        <v>0</v>
      </c>
      <c r="N90" s="1"/>
    </row>
    <row r="91" spans="1:14" ht="15" hidden="1" outlineLevel="1">
      <c r="A91" s="43" t="s">
        <v>93</v>
      </c>
      <c r="B91" s="21"/>
      <c r="C91" s="12"/>
      <c r="D91" s="12"/>
      <c r="E91" s="44">
        <v>310000000</v>
      </c>
      <c r="F91" s="12">
        <f t="shared" si="17"/>
        <v>310000000</v>
      </c>
      <c r="G91" s="12"/>
      <c r="H91" s="12">
        <f t="shared" si="11"/>
        <v>310000000</v>
      </c>
      <c r="I91" s="12"/>
      <c r="J91" s="154">
        <f t="shared" si="12"/>
        <v>310000000</v>
      </c>
      <c r="K91" s="154">
        <v>309057908</v>
      </c>
      <c r="L91" s="153">
        <f t="shared" si="13"/>
        <v>-942092</v>
      </c>
      <c r="M91" s="162">
        <f t="shared" si="14"/>
        <v>0.9969609935483871</v>
      </c>
      <c r="N91" s="1"/>
    </row>
    <row r="92" spans="1:14" ht="15" hidden="1" outlineLevel="1">
      <c r="A92" s="39" t="s">
        <v>94</v>
      </c>
      <c r="B92" s="21"/>
      <c r="C92" s="12"/>
      <c r="D92" s="12"/>
      <c r="E92" s="17">
        <v>47974388</v>
      </c>
      <c r="F92" s="12">
        <f t="shared" si="17"/>
        <v>47974388</v>
      </c>
      <c r="G92" s="12"/>
      <c r="H92" s="12">
        <f t="shared" si="11"/>
        <v>47974388</v>
      </c>
      <c r="I92" s="12"/>
      <c r="J92" s="154">
        <f t="shared" si="12"/>
        <v>47974388</v>
      </c>
      <c r="K92" s="154">
        <v>47395407.99999999</v>
      </c>
      <c r="L92" s="153">
        <f t="shared" si="13"/>
        <v>-578980.0000000075</v>
      </c>
      <c r="M92" s="162">
        <f t="shared" si="14"/>
        <v>0.9879314771039912</v>
      </c>
      <c r="N92" s="1"/>
    </row>
    <row r="93" spans="1:14" ht="15" hidden="1" outlineLevel="1">
      <c r="A93" s="39" t="s">
        <v>95</v>
      </c>
      <c r="B93" s="21"/>
      <c r="C93" s="12"/>
      <c r="D93" s="12"/>
      <c r="E93" s="17">
        <v>5012000</v>
      </c>
      <c r="F93" s="12">
        <f t="shared" si="17"/>
        <v>5012000</v>
      </c>
      <c r="G93" s="12"/>
      <c r="H93" s="12">
        <f t="shared" si="11"/>
        <v>5012000</v>
      </c>
      <c r="I93" s="12"/>
      <c r="J93" s="154">
        <f t="shared" si="12"/>
        <v>5012000</v>
      </c>
      <c r="K93" s="154">
        <v>780000</v>
      </c>
      <c r="L93" s="153">
        <f t="shared" si="13"/>
        <v>-4232000</v>
      </c>
      <c r="M93" s="162">
        <f t="shared" si="14"/>
        <v>0.1556264964086193</v>
      </c>
      <c r="N93" s="1"/>
    </row>
    <row r="94" spans="1:14" ht="15" hidden="1" outlineLevel="1">
      <c r="A94" s="43" t="s">
        <v>96</v>
      </c>
      <c r="B94" s="21"/>
      <c r="C94" s="12"/>
      <c r="D94" s="12"/>
      <c r="E94" s="17">
        <v>6250000</v>
      </c>
      <c r="F94" s="12">
        <f t="shared" si="17"/>
        <v>6250000</v>
      </c>
      <c r="G94" s="12"/>
      <c r="H94" s="12">
        <f t="shared" si="11"/>
        <v>6250000</v>
      </c>
      <c r="I94" s="12"/>
      <c r="J94" s="154">
        <f t="shared" si="12"/>
        <v>6250000</v>
      </c>
      <c r="K94" s="154">
        <v>5250000</v>
      </c>
      <c r="L94" s="153">
        <f t="shared" si="13"/>
        <v>-1000000</v>
      </c>
      <c r="M94" s="162">
        <f t="shared" si="14"/>
        <v>0.84</v>
      </c>
      <c r="N94" s="1"/>
    </row>
    <row r="95" spans="1:14" ht="15" hidden="1" outlineLevel="1">
      <c r="A95" s="43" t="s">
        <v>97</v>
      </c>
      <c r="B95" s="21"/>
      <c r="C95" s="12"/>
      <c r="D95" s="12"/>
      <c r="E95" s="17">
        <v>500000</v>
      </c>
      <c r="F95" s="12">
        <f t="shared" si="17"/>
        <v>500000</v>
      </c>
      <c r="G95" s="12"/>
      <c r="H95" s="12">
        <f t="shared" si="11"/>
        <v>500000</v>
      </c>
      <c r="I95" s="12"/>
      <c r="J95" s="154">
        <f t="shared" si="12"/>
        <v>500000</v>
      </c>
      <c r="K95" s="154">
        <v>0</v>
      </c>
      <c r="L95" s="153">
        <f t="shared" si="13"/>
        <v>-500000</v>
      </c>
      <c r="M95" s="162">
        <f t="shared" si="14"/>
        <v>0</v>
      </c>
      <c r="N95" s="1"/>
    </row>
    <row r="96" spans="1:14" ht="15" hidden="1" outlineLevel="1">
      <c r="A96" s="43" t="s">
        <v>98</v>
      </c>
      <c r="B96" s="21"/>
      <c r="C96" s="12"/>
      <c r="D96" s="12"/>
      <c r="E96" s="17">
        <v>9252901</v>
      </c>
      <c r="F96" s="12">
        <f t="shared" si="17"/>
        <v>9252901</v>
      </c>
      <c r="G96" s="12"/>
      <c r="H96" s="12">
        <f t="shared" si="11"/>
        <v>9252901</v>
      </c>
      <c r="I96" s="12"/>
      <c r="J96" s="154">
        <f t="shared" si="12"/>
        <v>9252901</v>
      </c>
      <c r="K96" s="154">
        <v>9155844</v>
      </c>
      <c r="L96" s="153">
        <f t="shared" si="13"/>
        <v>-97057</v>
      </c>
      <c r="M96" s="162">
        <f t="shared" si="14"/>
        <v>0.9895106410411179</v>
      </c>
      <c r="N96" s="1"/>
    </row>
    <row r="97" spans="1:14" ht="15" collapsed="1">
      <c r="A97" s="41" t="s">
        <v>99</v>
      </c>
      <c r="B97" s="21"/>
      <c r="C97" s="12"/>
      <c r="D97" s="12"/>
      <c r="E97" s="9">
        <f>+E98+E99+E100+E104+E105</f>
        <v>55380708</v>
      </c>
      <c r="F97" s="9">
        <f>+F98+F99+F100+F104+F105</f>
        <v>55380708</v>
      </c>
      <c r="G97" s="12"/>
      <c r="H97" s="9">
        <f>+H98+H99+H100+H104+H105</f>
        <v>55380708</v>
      </c>
      <c r="I97" s="9"/>
      <c r="J97" s="153">
        <f t="shared" si="12"/>
        <v>55380708</v>
      </c>
      <c r="K97" s="9">
        <f>+K98+K99+K100+K104+K105</f>
        <v>55160708</v>
      </c>
      <c r="L97" s="153">
        <f t="shared" si="13"/>
        <v>-220000</v>
      </c>
      <c r="M97" s="164">
        <f t="shared" si="14"/>
        <v>0.9960274975177277</v>
      </c>
      <c r="N97" s="1"/>
    </row>
    <row r="98" spans="1:14" ht="15" hidden="1" outlineLevel="1">
      <c r="A98" s="45" t="s">
        <v>100</v>
      </c>
      <c r="B98" s="21"/>
      <c r="C98" s="12"/>
      <c r="D98" s="12"/>
      <c r="E98" s="12">
        <v>34421948</v>
      </c>
      <c r="F98" s="12">
        <f aca="true" t="shared" si="18" ref="F98:F105">SUM(B98:E98)</f>
        <v>34421948</v>
      </c>
      <c r="G98" s="12"/>
      <c r="H98" s="12">
        <f t="shared" si="11"/>
        <v>34421948</v>
      </c>
      <c r="I98" s="12"/>
      <c r="J98" s="154">
        <f t="shared" si="12"/>
        <v>34421948</v>
      </c>
      <c r="K98" s="154">
        <v>34421948</v>
      </c>
      <c r="L98" s="153">
        <f t="shared" si="13"/>
        <v>0</v>
      </c>
      <c r="M98" s="162">
        <f t="shared" si="14"/>
        <v>1</v>
      </c>
      <c r="N98" s="1"/>
    </row>
    <row r="99" spans="1:14" ht="15" hidden="1" outlineLevel="1">
      <c r="A99" s="45" t="s">
        <v>101</v>
      </c>
      <c r="B99" s="21"/>
      <c r="C99" s="12"/>
      <c r="D99" s="12"/>
      <c r="E99" s="12">
        <v>0</v>
      </c>
      <c r="F99" s="12">
        <f t="shared" si="18"/>
        <v>0</v>
      </c>
      <c r="G99" s="12"/>
      <c r="H99" s="12">
        <f t="shared" si="11"/>
        <v>0</v>
      </c>
      <c r="I99" s="12"/>
      <c r="J99" s="154">
        <f t="shared" si="12"/>
        <v>0</v>
      </c>
      <c r="K99" s="154">
        <v>0</v>
      </c>
      <c r="L99" s="153">
        <f t="shared" si="13"/>
        <v>0</v>
      </c>
      <c r="M99" s="162" t="e">
        <f t="shared" si="14"/>
        <v>#DIV/0!</v>
      </c>
      <c r="N99" s="1"/>
    </row>
    <row r="100" spans="1:14" ht="15" hidden="1" outlineLevel="1">
      <c r="A100" s="45" t="s">
        <v>102</v>
      </c>
      <c r="B100" s="21"/>
      <c r="C100" s="12"/>
      <c r="D100" s="12"/>
      <c r="E100" s="12">
        <f>+SUM(E101:E103)</f>
        <v>7000000</v>
      </c>
      <c r="F100" s="12">
        <f t="shared" si="18"/>
        <v>7000000</v>
      </c>
      <c r="G100" s="12"/>
      <c r="H100" s="12">
        <f t="shared" si="11"/>
        <v>7000000</v>
      </c>
      <c r="I100" s="12"/>
      <c r="J100" s="154">
        <f t="shared" si="12"/>
        <v>7000000</v>
      </c>
      <c r="K100" s="154">
        <v>7000000</v>
      </c>
      <c r="L100" s="153">
        <f t="shared" si="13"/>
        <v>0</v>
      </c>
      <c r="M100" s="162">
        <f t="shared" si="14"/>
        <v>1</v>
      </c>
      <c r="N100" s="1"/>
    </row>
    <row r="101" spans="1:14" ht="15" hidden="1" outlineLevel="2">
      <c r="A101" s="45" t="s">
        <v>103</v>
      </c>
      <c r="B101" s="21"/>
      <c r="C101" s="12"/>
      <c r="D101" s="12"/>
      <c r="E101" s="17">
        <v>7000000</v>
      </c>
      <c r="F101" s="12">
        <f t="shared" si="18"/>
        <v>7000000</v>
      </c>
      <c r="G101" s="12"/>
      <c r="H101" s="12">
        <f t="shared" si="11"/>
        <v>7000000</v>
      </c>
      <c r="I101" s="12"/>
      <c r="J101" s="154">
        <f t="shared" si="12"/>
        <v>7000000</v>
      </c>
      <c r="K101" s="154">
        <v>7000000</v>
      </c>
      <c r="L101" s="153">
        <f t="shared" si="13"/>
        <v>0</v>
      </c>
      <c r="M101" s="162">
        <f t="shared" si="14"/>
        <v>1</v>
      </c>
      <c r="N101" s="1"/>
    </row>
    <row r="102" spans="1:14" ht="15" hidden="1" outlineLevel="2">
      <c r="A102" s="45" t="s">
        <v>104</v>
      </c>
      <c r="B102" s="21"/>
      <c r="C102" s="12"/>
      <c r="D102" s="12"/>
      <c r="E102" s="12">
        <v>0</v>
      </c>
      <c r="F102" s="12">
        <f t="shared" si="18"/>
        <v>0</v>
      </c>
      <c r="G102" s="12"/>
      <c r="H102" s="12">
        <f t="shared" si="11"/>
        <v>0</v>
      </c>
      <c r="I102" s="12"/>
      <c r="J102" s="154">
        <f t="shared" si="12"/>
        <v>0</v>
      </c>
      <c r="K102" s="154">
        <v>0</v>
      </c>
      <c r="L102" s="153">
        <f t="shared" si="13"/>
        <v>0</v>
      </c>
      <c r="M102" s="162" t="e">
        <f t="shared" si="14"/>
        <v>#DIV/0!</v>
      </c>
      <c r="N102" s="1"/>
    </row>
    <row r="103" spans="1:14" ht="15" hidden="1" outlineLevel="2">
      <c r="A103" s="45" t="s">
        <v>105</v>
      </c>
      <c r="B103" s="21"/>
      <c r="C103" s="12"/>
      <c r="D103" s="12"/>
      <c r="E103" s="12">
        <v>0</v>
      </c>
      <c r="F103" s="12">
        <f t="shared" si="18"/>
        <v>0</v>
      </c>
      <c r="G103" s="12"/>
      <c r="H103" s="12">
        <f t="shared" si="11"/>
        <v>0</v>
      </c>
      <c r="I103" s="12"/>
      <c r="J103" s="154">
        <f t="shared" si="12"/>
        <v>0</v>
      </c>
      <c r="K103" s="154">
        <v>0</v>
      </c>
      <c r="L103" s="153">
        <f t="shared" si="13"/>
        <v>0</v>
      </c>
      <c r="M103" s="162" t="e">
        <f t="shared" si="14"/>
        <v>#DIV/0!</v>
      </c>
      <c r="N103" s="1"/>
    </row>
    <row r="104" spans="1:14" ht="15" hidden="1" outlineLevel="1" collapsed="1">
      <c r="A104" s="45" t="s">
        <v>106</v>
      </c>
      <c r="B104" s="21"/>
      <c r="C104" s="12"/>
      <c r="D104" s="12"/>
      <c r="E104" s="12">
        <v>13958760</v>
      </c>
      <c r="F104" s="12">
        <f t="shared" si="18"/>
        <v>13958760</v>
      </c>
      <c r="G104" s="12"/>
      <c r="H104" s="12">
        <f t="shared" si="11"/>
        <v>13958760</v>
      </c>
      <c r="I104" s="12"/>
      <c r="J104" s="154">
        <f t="shared" si="12"/>
        <v>13958760</v>
      </c>
      <c r="K104" s="154">
        <v>13738760</v>
      </c>
      <c r="L104" s="153">
        <f t="shared" si="13"/>
        <v>-220000</v>
      </c>
      <c r="M104" s="162">
        <f t="shared" si="14"/>
        <v>0.9842392877304288</v>
      </c>
      <c r="N104" s="1"/>
    </row>
    <row r="105" spans="1:14" ht="15" hidden="1" outlineLevel="1">
      <c r="A105" s="45" t="s">
        <v>107</v>
      </c>
      <c r="B105" s="21"/>
      <c r="C105" s="12"/>
      <c r="D105" s="12"/>
      <c r="E105" s="12">
        <v>0</v>
      </c>
      <c r="F105" s="12">
        <f t="shared" si="18"/>
        <v>0</v>
      </c>
      <c r="G105" s="12"/>
      <c r="H105" s="12">
        <f t="shared" si="11"/>
        <v>0</v>
      </c>
      <c r="I105" s="12"/>
      <c r="J105" s="154">
        <f t="shared" si="12"/>
        <v>0</v>
      </c>
      <c r="K105" s="154">
        <v>0</v>
      </c>
      <c r="L105" s="153">
        <f t="shared" si="13"/>
        <v>0</v>
      </c>
      <c r="M105" s="162" t="e">
        <f t="shared" si="14"/>
        <v>#DIV/0!</v>
      </c>
      <c r="N105" s="1"/>
    </row>
    <row r="106" spans="1:14" ht="15" collapsed="1">
      <c r="A106" s="41" t="s">
        <v>108</v>
      </c>
      <c r="B106" s="21"/>
      <c r="C106" s="12"/>
      <c r="D106" s="12"/>
      <c r="E106" s="9">
        <f>SUM(E107:E110)</f>
        <v>161921850</v>
      </c>
      <c r="F106" s="9">
        <f>SUM(F107:F110)</f>
        <v>161921850</v>
      </c>
      <c r="G106" s="12"/>
      <c r="H106" s="9">
        <f>SUM(H107:H110)</f>
        <v>161921850</v>
      </c>
      <c r="I106" s="9"/>
      <c r="J106" s="153">
        <f t="shared" si="12"/>
        <v>161921850</v>
      </c>
      <c r="K106" s="9">
        <f>SUM(K107:K110)</f>
        <v>134465857.12</v>
      </c>
      <c r="L106" s="153">
        <f t="shared" si="13"/>
        <v>-27455992.879999995</v>
      </c>
      <c r="M106" s="164">
        <f t="shared" si="14"/>
        <v>0.8304367639080211</v>
      </c>
      <c r="N106" s="1"/>
    </row>
    <row r="107" spans="1:14" ht="15" hidden="1" outlineLevel="1">
      <c r="A107" s="43" t="s">
        <v>109</v>
      </c>
      <c r="B107" s="21"/>
      <c r="C107" s="12"/>
      <c r="D107" s="12"/>
      <c r="E107" s="17">
        <v>57955950</v>
      </c>
      <c r="F107" s="12">
        <f>SUM(B107:E107)</f>
        <v>57955950</v>
      </c>
      <c r="G107" s="12"/>
      <c r="H107" s="12">
        <f t="shared" si="11"/>
        <v>57955950</v>
      </c>
      <c r="I107" s="12"/>
      <c r="J107" s="154">
        <f t="shared" si="12"/>
        <v>57955950</v>
      </c>
      <c r="K107" s="154">
        <v>49975099</v>
      </c>
      <c r="L107" s="153">
        <f t="shared" si="13"/>
        <v>-7980851</v>
      </c>
      <c r="M107" s="162">
        <f t="shared" si="14"/>
        <v>0.8622945357637999</v>
      </c>
      <c r="N107" s="1"/>
    </row>
    <row r="108" spans="1:14" ht="15" hidden="1" outlineLevel="1">
      <c r="A108" s="43" t="s">
        <v>110</v>
      </c>
      <c r="B108" s="21"/>
      <c r="C108" s="12"/>
      <c r="D108" s="12"/>
      <c r="E108" s="12">
        <v>0</v>
      </c>
      <c r="F108" s="12">
        <f>SUM(B108:E108)</f>
        <v>0</v>
      </c>
      <c r="G108" s="12"/>
      <c r="H108" s="12">
        <f t="shared" si="11"/>
        <v>0</v>
      </c>
      <c r="I108" s="12"/>
      <c r="J108" s="154">
        <f t="shared" si="12"/>
        <v>0</v>
      </c>
      <c r="K108" s="154">
        <v>0</v>
      </c>
      <c r="L108" s="153">
        <f t="shared" si="13"/>
        <v>0</v>
      </c>
      <c r="M108" s="162" t="e">
        <f t="shared" si="14"/>
        <v>#DIV/0!</v>
      </c>
      <c r="N108" s="1"/>
    </row>
    <row r="109" spans="1:14" ht="15" hidden="1" outlineLevel="1">
      <c r="A109" s="43" t="s">
        <v>111</v>
      </c>
      <c r="B109" s="21"/>
      <c r="C109" s="12"/>
      <c r="D109" s="12"/>
      <c r="E109" s="17">
        <v>22000000</v>
      </c>
      <c r="F109" s="12">
        <f>SUM(B109:E109)</f>
        <v>22000000</v>
      </c>
      <c r="G109" s="12"/>
      <c r="H109" s="12">
        <f t="shared" si="11"/>
        <v>22000000</v>
      </c>
      <c r="I109" s="12"/>
      <c r="J109" s="154">
        <f t="shared" si="12"/>
        <v>22000000</v>
      </c>
      <c r="K109" s="154">
        <v>21994275.119999997</v>
      </c>
      <c r="L109" s="153">
        <f t="shared" si="13"/>
        <v>-5724.880000002682</v>
      </c>
      <c r="M109" s="162">
        <f t="shared" si="14"/>
        <v>0.999739778181818</v>
      </c>
      <c r="N109" s="1"/>
    </row>
    <row r="110" spans="1:14" ht="15" hidden="1" outlineLevel="1">
      <c r="A110" s="43" t="s">
        <v>112</v>
      </c>
      <c r="B110" s="21"/>
      <c r="C110" s="12"/>
      <c r="D110" s="12"/>
      <c r="E110" s="17">
        <v>81965900</v>
      </c>
      <c r="F110" s="12">
        <f>SUM(B110:E110)</f>
        <v>81965900</v>
      </c>
      <c r="G110" s="12"/>
      <c r="H110" s="12">
        <f t="shared" si="11"/>
        <v>81965900</v>
      </c>
      <c r="I110" s="12"/>
      <c r="J110" s="154">
        <f t="shared" si="12"/>
        <v>81965900</v>
      </c>
      <c r="K110" s="154">
        <v>62496483</v>
      </c>
      <c r="L110" s="153">
        <f t="shared" si="13"/>
        <v>-19469417</v>
      </c>
      <c r="M110" s="162">
        <f t="shared" si="14"/>
        <v>0.7624693073583039</v>
      </c>
      <c r="N110" s="1"/>
    </row>
    <row r="111" spans="1:14" ht="15" collapsed="1">
      <c r="A111" s="43"/>
      <c r="B111" s="21"/>
      <c r="C111" s="12"/>
      <c r="D111" s="12"/>
      <c r="E111" s="17"/>
      <c r="F111" s="17"/>
      <c r="G111" s="12"/>
      <c r="H111" s="21"/>
      <c r="I111" s="21"/>
      <c r="J111" s="155"/>
      <c r="K111" s="155"/>
      <c r="L111" s="153"/>
      <c r="M111" s="163"/>
      <c r="N111" s="1"/>
    </row>
    <row r="112" spans="1:14" s="31" customFormat="1" ht="15.75" customHeight="1">
      <c r="A112" s="4" t="s">
        <v>113</v>
      </c>
      <c r="B112" s="21"/>
      <c r="C112" s="21">
        <f>+C113+C117+C130+C137</f>
        <v>406558779</v>
      </c>
      <c r="D112" s="12"/>
      <c r="E112" s="12"/>
      <c r="F112" s="21">
        <f>+F113+F117+F130+F137</f>
        <v>406558779</v>
      </c>
      <c r="G112" s="12"/>
      <c r="H112" s="21">
        <f>+H113+H117+H130+H137</f>
        <v>406558779</v>
      </c>
      <c r="I112" s="21"/>
      <c r="J112" s="155">
        <f aca="true" t="shared" si="19" ref="J112:J142">+H112+I112</f>
        <v>406558779</v>
      </c>
      <c r="K112" s="155">
        <f>+K113+K117+K130+K137</f>
        <v>329949829.44</v>
      </c>
      <c r="L112" s="153">
        <f t="shared" si="13"/>
        <v>-76608949.56</v>
      </c>
      <c r="M112" s="163">
        <f t="shared" si="14"/>
        <v>0.8115673464279073</v>
      </c>
      <c r="N112" s="30"/>
    </row>
    <row r="113" spans="1:14" s="31" customFormat="1" ht="15">
      <c r="A113" s="29" t="s">
        <v>114</v>
      </c>
      <c r="B113" s="21"/>
      <c r="C113" s="21">
        <f>SUM(C114:C116)</f>
        <v>31634040</v>
      </c>
      <c r="D113" s="12"/>
      <c r="E113" s="12"/>
      <c r="F113" s="21">
        <f>SUM(F114:F116)</f>
        <v>31634040</v>
      </c>
      <c r="G113" s="12"/>
      <c r="H113" s="21">
        <f>SUM(H114:H116)</f>
        <v>31634040</v>
      </c>
      <c r="I113" s="21"/>
      <c r="J113" s="155">
        <f t="shared" si="19"/>
        <v>31634040</v>
      </c>
      <c r="K113" s="21">
        <f>SUM(K114:K116)</f>
        <v>3103840</v>
      </c>
      <c r="L113" s="153">
        <f t="shared" si="13"/>
        <v>-28530200</v>
      </c>
      <c r="M113" s="163">
        <f t="shared" si="14"/>
        <v>0.09811709158868105</v>
      </c>
      <c r="N113" s="30"/>
    </row>
    <row r="114" spans="1:14" s="31" customFormat="1" ht="15" hidden="1" outlineLevel="1">
      <c r="A114" s="45" t="s">
        <v>115</v>
      </c>
      <c r="B114" s="21"/>
      <c r="C114" s="12">
        <v>31103840</v>
      </c>
      <c r="D114" s="12"/>
      <c r="E114" s="17"/>
      <c r="F114" s="12">
        <f>+E114+D114+C114+B114</f>
        <v>31103840</v>
      </c>
      <c r="G114" s="17"/>
      <c r="H114" s="12">
        <f>+F114+G114</f>
        <v>31103840</v>
      </c>
      <c r="I114" s="12"/>
      <c r="J114" s="154">
        <f t="shared" si="19"/>
        <v>31103840</v>
      </c>
      <c r="K114" s="154">
        <v>31103840</v>
      </c>
      <c r="L114" s="153">
        <f t="shared" si="13"/>
        <v>0</v>
      </c>
      <c r="M114" s="162">
        <f t="shared" si="14"/>
        <v>1</v>
      </c>
      <c r="N114" s="30"/>
    </row>
    <row r="115" spans="1:14" s="31" customFormat="1" ht="15" hidden="1" outlineLevel="1">
      <c r="A115" s="45" t="s">
        <v>116</v>
      </c>
      <c r="B115" s="21"/>
      <c r="C115" s="12">
        <v>0</v>
      </c>
      <c r="D115" s="12"/>
      <c r="E115" s="17"/>
      <c r="F115" s="12">
        <f>+E115+D115+C115+B115</f>
        <v>0</v>
      </c>
      <c r="G115" s="17"/>
      <c r="H115" s="12">
        <f>+F115+G115</f>
        <v>0</v>
      </c>
      <c r="I115" s="12"/>
      <c r="J115" s="154">
        <f t="shared" si="19"/>
        <v>0</v>
      </c>
      <c r="K115" s="154">
        <v>-28000000</v>
      </c>
      <c r="L115" s="153">
        <f t="shared" si="13"/>
        <v>-28000000</v>
      </c>
      <c r="M115" s="162" t="e">
        <f t="shared" si="14"/>
        <v>#DIV/0!</v>
      </c>
      <c r="N115" s="30"/>
    </row>
    <row r="116" spans="1:14" s="31" customFormat="1" ht="15" hidden="1" outlineLevel="1">
      <c r="A116" s="45" t="s">
        <v>117</v>
      </c>
      <c r="B116" s="21"/>
      <c r="C116" s="12">
        <v>530200</v>
      </c>
      <c r="D116" s="12"/>
      <c r="E116" s="17"/>
      <c r="F116" s="12">
        <f>+E116+D116+C116+B116</f>
        <v>530200</v>
      </c>
      <c r="G116" s="17"/>
      <c r="H116" s="12">
        <f>+F116+G116</f>
        <v>530200</v>
      </c>
      <c r="I116" s="12"/>
      <c r="J116" s="154">
        <f t="shared" si="19"/>
        <v>530200</v>
      </c>
      <c r="K116" s="154">
        <v>0</v>
      </c>
      <c r="L116" s="153">
        <f t="shared" si="13"/>
        <v>-530200</v>
      </c>
      <c r="M116" s="162">
        <f t="shared" si="14"/>
        <v>0</v>
      </c>
      <c r="N116" s="30"/>
    </row>
    <row r="117" spans="1:14" s="31" customFormat="1" ht="15" collapsed="1">
      <c r="A117" s="29" t="s">
        <v>118</v>
      </c>
      <c r="B117" s="21"/>
      <c r="C117" s="46">
        <f>+C118+C123+C129</f>
        <v>318956389</v>
      </c>
      <c r="D117" s="12"/>
      <c r="E117" s="12"/>
      <c r="F117" s="46">
        <f>+F118+F123+F129</f>
        <v>318956389</v>
      </c>
      <c r="G117" s="12"/>
      <c r="H117" s="46">
        <f>+H118+H123+H129</f>
        <v>318956389</v>
      </c>
      <c r="I117" s="46"/>
      <c r="J117" s="157">
        <f t="shared" si="19"/>
        <v>318956389</v>
      </c>
      <c r="K117" s="46">
        <f>+K118+K123+K129</f>
        <v>276446051</v>
      </c>
      <c r="L117" s="153">
        <f t="shared" si="13"/>
        <v>-42510338</v>
      </c>
      <c r="M117" s="166">
        <f t="shared" si="14"/>
        <v>0.8667205315018788</v>
      </c>
      <c r="N117" s="30"/>
    </row>
    <row r="118" spans="1:14" s="31" customFormat="1" ht="15" hidden="1" outlineLevel="1">
      <c r="A118" s="43" t="s">
        <v>119</v>
      </c>
      <c r="B118" s="12"/>
      <c r="C118" s="44">
        <f>+SUM(C119:C122)</f>
        <v>251837953</v>
      </c>
      <c r="D118" s="12"/>
      <c r="E118" s="12"/>
      <c r="F118" s="44">
        <f>+SUM(F119:F122)</f>
        <v>251837953</v>
      </c>
      <c r="G118" s="12"/>
      <c r="H118" s="44">
        <f>+SUM(H119:H122)</f>
        <v>251837953</v>
      </c>
      <c r="I118" s="44"/>
      <c r="J118" s="158">
        <f t="shared" si="19"/>
        <v>251837953</v>
      </c>
      <c r="K118" s="44">
        <f>+SUM(K119:K122)</f>
        <v>214459796</v>
      </c>
      <c r="L118" s="153">
        <f t="shared" si="13"/>
        <v>-37378157</v>
      </c>
      <c r="M118" s="167">
        <f t="shared" si="14"/>
        <v>0.851578538680387</v>
      </c>
      <c r="N118" s="30"/>
    </row>
    <row r="119" spans="1:14" s="31" customFormat="1" ht="15" hidden="1" outlineLevel="2">
      <c r="A119" s="34" t="s">
        <v>120</v>
      </c>
      <c r="B119" s="12"/>
      <c r="C119" s="47">
        <v>26032853</v>
      </c>
      <c r="D119" s="12"/>
      <c r="E119" s="12"/>
      <c r="F119" s="12">
        <f aca="true" t="shared" si="20" ref="F119:F129">+E119+D119+C119+B119</f>
        <v>26032853</v>
      </c>
      <c r="G119" s="12"/>
      <c r="H119" s="12">
        <f aca="true" t="shared" si="21" ref="H119:H129">+G119+F119</f>
        <v>26032853</v>
      </c>
      <c r="I119" s="12"/>
      <c r="J119" s="154">
        <f t="shared" si="19"/>
        <v>26032853</v>
      </c>
      <c r="K119" s="154">
        <v>29692834</v>
      </c>
      <c r="L119" s="153">
        <f t="shared" si="13"/>
        <v>3659981</v>
      </c>
      <c r="M119" s="162">
        <f t="shared" si="14"/>
        <v>1.1405908526430046</v>
      </c>
      <c r="N119" s="30"/>
    </row>
    <row r="120" spans="1:14" s="31" customFormat="1" ht="15" hidden="1" outlineLevel="2">
      <c r="A120" s="34" t="s">
        <v>121</v>
      </c>
      <c r="B120" s="12"/>
      <c r="C120" s="47">
        <f>21505100-8200000</f>
        <v>13305100</v>
      </c>
      <c r="D120" s="12"/>
      <c r="E120" s="12"/>
      <c r="F120" s="12">
        <f t="shared" si="20"/>
        <v>13305100</v>
      </c>
      <c r="G120" s="12"/>
      <c r="H120" s="12">
        <f t="shared" si="21"/>
        <v>13305100</v>
      </c>
      <c r="I120" s="12"/>
      <c r="J120" s="154">
        <f t="shared" si="19"/>
        <v>13305100</v>
      </c>
      <c r="K120" s="154">
        <v>13739600</v>
      </c>
      <c r="L120" s="153">
        <f t="shared" si="13"/>
        <v>434500</v>
      </c>
      <c r="M120" s="162">
        <f t="shared" si="14"/>
        <v>1.0326566504573433</v>
      </c>
      <c r="N120" s="30"/>
    </row>
    <row r="121" spans="1:14" s="31" customFormat="1" ht="15" hidden="1" outlineLevel="2">
      <c r="A121" s="34" t="s">
        <v>122</v>
      </c>
      <c r="B121" s="12"/>
      <c r="C121" s="47">
        <v>10500000</v>
      </c>
      <c r="D121" s="12"/>
      <c r="E121" s="12"/>
      <c r="F121" s="12">
        <f t="shared" si="20"/>
        <v>10500000</v>
      </c>
      <c r="G121" s="12"/>
      <c r="H121" s="12">
        <f t="shared" si="21"/>
        <v>10500000</v>
      </c>
      <c r="I121" s="12"/>
      <c r="J121" s="154">
        <f t="shared" si="19"/>
        <v>10500000</v>
      </c>
      <c r="K121" s="154">
        <v>10500000</v>
      </c>
      <c r="L121" s="153">
        <f t="shared" si="13"/>
        <v>0</v>
      </c>
      <c r="M121" s="162">
        <f t="shared" si="14"/>
        <v>1</v>
      </c>
      <c r="N121" s="30"/>
    </row>
    <row r="122" spans="1:14" s="31" customFormat="1" ht="15" hidden="1" outlineLevel="2">
      <c r="A122" s="34" t="s">
        <v>123</v>
      </c>
      <c r="B122" s="12"/>
      <c r="C122" s="47">
        <v>202000000</v>
      </c>
      <c r="D122" s="12"/>
      <c r="E122" s="12"/>
      <c r="F122" s="12">
        <f t="shared" si="20"/>
        <v>202000000</v>
      </c>
      <c r="G122" s="12"/>
      <c r="H122" s="12">
        <f t="shared" si="21"/>
        <v>202000000</v>
      </c>
      <c r="I122" s="12"/>
      <c r="J122" s="154">
        <f t="shared" si="19"/>
        <v>202000000</v>
      </c>
      <c r="K122" s="154">
        <v>160527362</v>
      </c>
      <c r="L122" s="153">
        <f t="shared" si="13"/>
        <v>-41472638</v>
      </c>
      <c r="M122" s="162">
        <f t="shared" si="14"/>
        <v>0.7946899108910891</v>
      </c>
      <c r="N122" s="30"/>
    </row>
    <row r="123" spans="1:14" s="31" customFormat="1" ht="15" hidden="1" outlineLevel="1" collapsed="1">
      <c r="A123" s="43" t="s">
        <v>124</v>
      </c>
      <c r="B123" s="12"/>
      <c r="C123" s="44">
        <f>SUM(C124:C128)</f>
        <v>9498321</v>
      </c>
      <c r="D123" s="12"/>
      <c r="E123" s="12"/>
      <c r="F123" s="44">
        <f>SUM(F124:F128)</f>
        <v>9498321</v>
      </c>
      <c r="G123" s="12"/>
      <c r="H123" s="44">
        <f>SUM(H124:H128)</f>
        <v>9498321</v>
      </c>
      <c r="I123" s="44"/>
      <c r="J123" s="158">
        <f t="shared" si="19"/>
        <v>9498321</v>
      </c>
      <c r="K123" s="44">
        <f>SUM(K124:K128)</f>
        <v>5378765</v>
      </c>
      <c r="L123" s="153">
        <f t="shared" si="13"/>
        <v>-4119556</v>
      </c>
      <c r="M123" s="167">
        <f t="shared" si="14"/>
        <v>0.566285873050616</v>
      </c>
      <c r="N123" s="30"/>
    </row>
    <row r="124" spans="1:14" s="31" customFormat="1" ht="15" hidden="1" outlineLevel="2">
      <c r="A124" s="34" t="s">
        <v>125</v>
      </c>
      <c r="B124" s="12"/>
      <c r="C124" s="47">
        <v>8247008</v>
      </c>
      <c r="D124" s="12"/>
      <c r="E124" s="12"/>
      <c r="F124" s="12">
        <f t="shared" si="20"/>
        <v>8247008</v>
      </c>
      <c r="G124" s="12"/>
      <c r="H124" s="12">
        <f t="shared" si="21"/>
        <v>8247008</v>
      </c>
      <c r="I124" s="12"/>
      <c r="J124" s="154">
        <f t="shared" si="19"/>
        <v>8247008</v>
      </c>
      <c r="K124" s="154">
        <v>4180965</v>
      </c>
      <c r="L124" s="153">
        <f t="shared" si="13"/>
        <v>-4066043</v>
      </c>
      <c r="M124" s="162">
        <f t="shared" si="14"/>
        <v>0.5069674965757278</v>
      </c>
      <c r="N124" s="30"/>
    </row>
    <row r="125" spans="1:14" s="31" customFormat="1" ht="15" hidden="1" outlineLevel="2">
      <c r="A125" s="34" t="s">
        <v>126</v>
      </c>
      <c r="B125" s="12"/>
      <c r="C125" s="47">
        <v>1017500</v>
      </c>
      <c r="D125" s="12"/>
      <c r="E125" s="12"/>
      <c r="F125" s="12">
        <f t="shared" si="20"/>
        <v>1017500</v>
      </c>
      <c r="G125" s="12"/>
      <c r="H125" s="12">
        <f t="shared" si="21"/>
        <v>1017500</v>
      </c>
      <c r="I125" s="12"/>
      <c r="J125" s="154">
        <f t="shared" si="19"/>
        <v>1017500</v>
      </c>
      <c r="K125" s="154">
        <v>1000000</v>
      </c>
      <c r="L125" s="153">
        <f t="shared" si="13"/>
        <v>-17500</v>
      </c>
      <c r="M125" s="162">
        <f t="shared" si="14"/>
        <v>0.9828009828009828</v>
      </c>
      <c r="N125" s="30"/>
    </row>
    <row r="126" spans="1:14" s="31" customFormat="1" ht="15" hidden="1" outlineLevel="2">
      <c r="A126" s="34" t="s">
        <v>127</v>
      </c>
      <c r="B126" s="12"/>
      <c r="C126" s="47">
        <f>6033813-5800000</f>
        <v>233813</v>
      </c>
      <c r="D126" s="12"/>
      <c r="E126" s="12"/>
      <c r="F126" s="12">
        <f t="shared" si="20"/>
        <v>233813</v>
      </c>
      <c r="G126" s="12"/>
      <c r="H126" s="12">
        <f t="shared" si="21"/>
        <v>233813</v>
      </c>
      <c r="I126" s="12"/>
      <c r="J126" s="154">
        <f t="shared" si="19"/>
        <v>233813</v>
      </c>
      <c r="K126" s="154">
        <v>197800</v>
      </c>
      <c r="L126" s="153">
        <f t="shared" si="13"/>
        <v>-36013</v>
      </c>
      <c r="M126" s="162">
        <f t="shared" si="14"/>
        <v>0.8459752024053411</v>
      </c>
      <c r="N126" s="30"/>
    </row>
    <row r="127" spans="1:14" s="31" customFormat="1" ht="15" hidden="1" outlineLevel="2">
      <c r="A127" s="34" t="s">
        <v>128</v>
      </c>
      <c r="B127" s="12"/>
      <c r="C127" s="47">
        <v>0</v>
      </c>
      <c r="D127" s="12"/>
      <c r="E127" s="12"/>
      <c r="F127" s="12">
        <f t="shared" si="20"/>
        <v>0</v>
      </c>
      <c r="G127" s="12"/>
      <c r="H127" s="12">
        <f>+G127+F127</f>
        <v>0</v>
      </c>
      <c r="I127" s="12"/>
      <c r="J127" s="154">
        <f t="shared" si="19"/>
        <v>0</v>
      </c>
      <c r="K127" s="154">
        <v>0</v>
      </c>
      <c r="L127" s="153">
        <f t="shared" si="13"/>
        <v>0</v>
      </c>
      <c r="M127" s="162" t="e">
        <f t="shared" si="14"/>
        <v>#DIV/0!</v>
      </c>
      <c r="N127" s="30"/>
    </row>
    <row r="128" spans="1:14" s="31" customFormat="1" ht="15" hidden="1" outlineLevel="2">
      <c r="A128" s="34" t="s">
        <v>129</v>
      </c>
      <c r="B128" s="12"/>
      <c r="C128" s="47">
        <v>0</v>
      </c>
      <c r="D128" s="12"/>
      <c r="E128" s="12"/>
      <c r="F128" s="12">
        <f t="shared" si="20"/>
        <v>0</v>
      </c>
      <c r="G128" s="12"/>
      <c r="H128" s="12">
        <f t="shared" si="21"/>
        <v>0</v>
      </c>
      <c r="I128" s="12"/>
      <c r="J128" s="154">
        <f t="shared" si="19"/>
        <v>0</v>
      </c>
      <c r="K128" s="154">
        <v>0</v>
      </c>
      <c r="L128" s="153">
        <f t="shared" si="13"/>
        <v>0</v>
      </c>
      <c r="M128" s="162" t="e">
        <f t="shared" si="14"/>
        <v>#DIV/0!</v>
      </c>
      <c r="N128" s="30"/>
    </row>
    <row r="129" spans="1:14" s="31" customFormat="1" ht="15.75" hidden="1" outlineLevel="1" collapsed="1">
      <c r="A129" s="43" t="s">
        <v>130</v>
      </c>
      <c r="B129" s="12"/>
      <c r="C129" s="47">
        <f>43620115+14000000</f>
        <v>57620115</v>
      </c>
      <c r="D129" s="12"/>
      <c r="E129" s="12"/>
      <c r="F129" s="12">
        <f t="shared" si="20"/>
        <v>57620115</v>
      </c>
      <c r="G129" s="12"/>
      <c r="H129" s="12">
        <f t="shared" si="21"/>
        <v>57620115</v>
      </c>
      <c r="I129" s="12"/>
      <c r="J129" s="154">
        <f t="shared" si="19"/>
        <v>57620115</v>
      </c>
      <c r="K129" s="181">
        <f>+'[5]TECN OCT-DIC09'!$G$227</f>
        <v>56607490</v>
      </c>
      <c r="L129" s="153">
        <f t="shared" si="13"/>
        <v>-1012625</v>
      </c>
      <c r="M129" s="162">
        <f t="shared" si="14"/>
        <v>0.9824258420865699</v>
      </c>
      <c r="N129" s="30"/>
    </row>
    <row r="130" spans="1:14" s="31" customFormat="1" ht="15" collapsed="1">
      <c r="A130" s="29" t="s">
        <v>131</v>
      </c>
      <c r="B130" s="21"/>
      <c r="C130" s="46">
        <f>+C131+C132+C135+C136</f>
        <v>20851680</v>
      </c>
      <c r="D130" s="12"/>
      <c r="E130" s="12"/>
      <c r="F130" s="46">
        <f>+F131+F132+F135+F136</f>
        <v>20851680</v>
      </c>
      <c r="G130" s="12"/>
      <c r="H130" s="46">
        <f>+H131+H132+H135+H136</f>
        <v>20851680</v>
      </c>
      <c r="I130" s="46"/>
      <c r="J130" s="157">
        <f t="shared" si="19"/>
        <v>20851680</v>
      </c>
      <c r="K130" s="46">
        <f>+K131+K132+K135+K136</f>
        <v>17072401</v>
      </c>
      <c r="L130" s="153">
        <f t="shared" si="13"/>
        <v>-3779279</v>
      </c>
      <c r="M130" s="166">
        <f t="shared" si="14"/>
        <v>0.8187542202834496</v>
      </c>
      <c r="N130" s="30"/>
    </row>
    <row r="131" spans="1:14" s="31" customFormat="1" ht="15" hidden="1" outlineLevel="1">
      <c r="A131" s="43" t="s">
        <v>132</v>
      </c>
      <c r="B131" s="21"/>
      <c r="C131" s="12">
        <v>3904200</v>
      </c>
      <c r="D131" s="12"/>
      <c r="E131" s="12"/>
      <c r="F131" s="12">
        <f aca="true" t="shared" si="22" ref="F131:F136">+E131+D131+C131+B131</f>
        <v>3904200</v>
      </c>
      <c r="G131" s="12"/>
      <c r="H131" s="12">
        <f aca="true" t="shared" si="23" ref="H131:H136">+F131+G131</f>
        <v>3904200</v>
      </c>
      <c r="I131" s="12"/>
      <c r="J131" s="154">
        <f t="shared" si="19"/>
        <v>3904200</v>
      </c>
      <c r="K131" s="12">
        <v>2608000</v>
      </c>
      <c r="L131" s="153">
        <f t="shared" si="13"/>
        <v>-1296200</v>
      </c>
      <c r="M131" s="162">
        <f t="shared" si="14"/>
        <v>0.6679985656472517</v>
      </c>
      <c r="N131" s="30"/>
    </row>
    <row r="132" spans="1:14" s="31" customFormat="1" ht="15" hidden="1" outlineLevel="1">
      <c r="A132" s="43" t="s">
        <v>133</v>
      </c>
      <c r="B132" s="21"/>
      <c r="C132" s="9">
        <f>+C133+C134</f>
        <v>0</v>
      </c>
      <c r="D132" s="12"/>
      <c r="E132" s="12"/>
      <c r="F132" s="9">
        <f>+F133+F134</f>
        <v>0</v>
      </c>
      <c r="G132" s="12"/>
      <c r="H132" s="9">
        <f>+H133+H134</f>
        <v>0</v>
      </c>
      <c r="I132" s="9"/>
      <c r="J132" s="153">
        <f t="shared" si="19"/>
        <v>0</v>
      </c>
      <c r="K132" s="9">
        <f>+K133+K134</f>
        <v>0</v>
      </c>
      <c r="L132" s="153">
        <f t="shared" si="13"/>
        <v>0</v>
      </c>
      <c r="M132" s="164" t="e">
        <f t="shared" si="14"/>
        <v>#DIV/0!</v>
      </c>
      <c r="N132" s="30"/>
    </row>
    <row r="133" spans="1:14" s="31" customFormat="1" ht="15" hidden="1" outlineLevel="2">
      <c r="A133" s="33" t="s">
        <v>134</v>
      </c>
      <c r="B133" s="21"/>
      <c r="C133" s="12">
        <v>0</v>
      </c>
      <c r="D133" s="12"/>
      <c r="E133" s="12"/>
      <c r="F133" s="12">
        <f t="shared" si="22"/>
        <v>0</v>
      </c>
      <c r="G133" s="12"/>
      <c r="H133" s="12">
        <f t="shared" si="23"/>
        <v>0</v>
      </c>
      <c r="I133" s="12"/>
      <c r="J133" s="154">
        <f t="shared" si="19"/>
        <v>0</v>
      </c>
      <c r="K133" s="154">
        <v>0</v>
      </c>
      <c r="L133" s="153">
        <f t="shared" si="13"/>
        <v>0</v>
      </c>
      <c r="M133" s="162" t="e">
        <f t="shared" si="14"/>
        <v>#DIV/0!</v>
      </c>
      <c r="N133" s="30"/>
    </row>
    <row r="134" spans="1:14" s="31" customFormat="1" ht="15" hidden="1" outlineLevel="2">
      <c r="A134" s="33" t="s">
        <v>135</v>
      </c>
      <c r="B134" s="21"/>
      <c r="C134" s="12">
        <v>0</v>
      </c>
      <c r="D134" s="12"/>
      <c r="E134" s="12"/>
      <c r="F134" s="12">
        <f t="shared" si="22"/>
        <v>0</v>
      </c>
      <c r="G134" s="12"/>
      <c r="H134" s="12">
        <f t="shared" si="23"/>
        <v>0</v>
      </c>
      <c r="I134" s="12"/>
      <c r="J134" s="154">
        <f t="shared" si="19"/>
        <v>0</v>
      </c>
      <c r="K134" s="154">
        <v>0</v>
      </c>
      <c r="L134" s="153">
        <f t="shared" si="13"/>
        <v>0</v>
      </c>
      <c r="M134" s="162" t="e">
        <f t="shared" si="14"/>
        <v>#DIV/0!</v>
      </c>
      <c r="N134" s="30"/>
    </row>
    <row r="135" spans="1:14" s="31" customFormat="1" ht="15" hidden="1" outlineLevel="1" collapsed="1">
      <c r="A135" s="43" t="s">
        <v>136</v>
      </c>
      <c r="B135" s="21"/>
      <c r="C135" s="12">
        <v>12419040</v>
      </c>
      <c r="D135" s="12"/>
      <c r="E135" s="12"/>
      <c r="F135" s="12">
        <f t="shared" si="22"/>
        <v>12419040</v>
      </c>
      <c r="G135" s="12"/>
      <c r="H135" s="12">
        <f t="shared" si="23"/>
        <v>12419040</v>
      </c>
      <c r="I135" s="12"/>
      <c r="J135" s="154">
        <f t="shared" si="19"/>
        <v>12419040</v>
      </c>
      <c r="K135" s="154">
        <v>10820036</v>
      </c>
      <c r="L135" s="153">
        <f t="shared" si="13"/>
        <v>-1599004</v>
      </c>
      <c r="M135" s="162">
        <f t="shared" si="14"/>
        <v>0.8712457645679538</v>
      </c>
      <c r="N135" s="30"/>
    </row>
    <row r="136" spans="1:14" s="31" customFormat="1" ht="15" hidden="1" outlineLevel="1">
      <c r="A136" s="43" t="s">
        <v>137</v>
      </c>
      <c r="B136" s="21"/>
      <c r="C136" s="12">
        <v>4528440</v>
      </c>
      <c r="D136" s="12"/>
      <c r="E136" s="12"/>
      <c r="F136" s="12">
        <f t="shared" si="22"/>
        <v>4528440</v>
      </c>
      <c r="G136" s="12"/>
      <c r="H136" s="12">
        <f t="shared" si="23"/>
        <v>4528440</v>
      </c>
      <c r="I136" s="12"/>
      <c r="J136" s="154">
        <f t="shared" si="19"/>
        <v>4528440</v>
      </c>
      <c r="K136" s="154">
        <v>3644365</v>
      </c>
      <c r="L136" s="153">
        <f t="shared" si="13"/>
        <v>-884075</v>
      </c>
      <c r="M136" s="162">
        <f t="shared" si="14"/>
        <v>0.8047727252652127</v>
      </c>
      <c r="N136" s="30"/>
    </row>
    <row r="137" spans="1:14" s="31" customFormat="1" ht="15" collapsed="1">
      <c r="A137" s="29" t="s">
        <v>138</v>
      </c>
      <c r="B137" s="17"/>
      <c r="C137" s="9">
        <f>SUM(C138:C142)</f>
        <v>35116670</v>
      </c>
      <c r="D137" s="9"/>
      <c r="E137" s="9"/>
      <c r="F137" s="9">
        <f>SUM(F138:F142)</f>
        <v>35116670</v>
      </c>
      <c r="G137" s="9"/>
      <c r="H137" s="9">
        <f>SUM(H138:H142)</f>
        <v>35116670</v>
      </c>
      <c r="I137" s="9"/>
      <c r="J137" s="153">
        <f t="shared" si="19"/>
        <v>35116670</v>
      </c>
      <c r="K137" s="9">
        <f>SUM(K138:K142)</f>
        <v>33327537.439999998</v>
      </c>
      <c r="L137" s="153">
        <f aca="true" t="shared" si="24" ref="L137:L178">+K137-J137</f>
        <v>-1789132.5600000024</v>
      </c>
      <c r="M137" s="164">
        <f aca="true" t="shared" si="25" ref="M137:M178">+K137/J137</f>
        <v>0.9490517591787603</v>
      </c>
      <c r="N137" s="30"/>
    </row>
    <row r="138" spans="1:14" s="31" customFormat="1" ht="15" hidden="1" outlineLevel="1">
      <c r="A138" s="43" t="s">
        <v>139</v>
      </c>
      <c r="B138" s="21"/>
      <c r="C138" s="17">
        <v>6000000</v>
      </c>
      <c r="D138" s="12"/>
      <c r="E138" s="12"/>
      <c r="F138" s="12">
        <f>+E138+D138+C138+B138</f>
        <v>6000000</v>
      </c>
      <c r="G138" s="12"/>
      <c r="H138" s="12">
        <f>+G138+F138</f>
        <v>6000000</v>
      </c>
      <c r="I138" s="12"/>
      <c r="J138" s="154">
        <f t="shared" si="19"/>
        <v>6000000</v>
      </c>
      <c r="K138" s="154">
        <v>6000000</v>
      </c>
      <c r="L138" s="153">
        <f t="shared" si="24"/>
        <v>0</v>
      </c>
      <c r="M138" s="162">
        <f t="shared" si="25"/>
        <v>1</v>
      </c>
      <c r="N138" s="30"/>
    </row>
    <row r="139" spans="1:14" s="31" customFormat="1" ht="15" hidden="1" outlineLevel="1">
      <c r="A139" s="43" t="s">
        <v>140</v>
      </c>
      <c r="B139" s="21"/>
      <c r="C139" s="17">
        <f>6203027-750000</f>
        <v>5453027</v>
      </c>
      <c r="D139" s="12"/>
      <c r="E139" s="12"/>
      <c r="F139" s="12">
        <f>+E139+D139+C139+B139</f>
        <v>5453027</v>
      </c>
      <c r="G139" s="12"/>
      <c r="H139" s="12">
        <f>+G139+F139</f>
        <v>5453027</v>
      </c>
      <c r="I139" s="12"/>
      <c r="J139" s="154">
        <f t="shared" si="19"/>
        <v>5453027</v>
      </c>
      <c r="K139" s="154">
        <v>5361814</v>
      </c>
      <c r="L139" s="153">
        <f t="shared" si="24"/>
        <v>-91213</v>
      </c>
      <c r="M139" s="162">
        <f t="shared" si="25"/>
        <v>0.9832729601375529</v>
      </c>
      <c r="N139" s="30"/>
    </row>
    <row r="140" spans="1:14" s="31" customFormat="1" ht="15" hidden="1" outlineLevel="1">
      <c r="A140" s="43" t="s">
        <v>141</v>
      </c>
      <c r="B140" s="21"/>
      <c r="C140" s="17">
        <v>227500</v>
      </c>
      <c r="D140" s="12"/>
      <c r="E140" s="12"/>
      <c r="F140" s="12">
        <f>+E140+D140+C140+B140</f>
        <v>227500</v>
      </c>
      <c r="G140" s="12"/>
      <c r="H140" s="12">
        <f>+G140+F140</f>
        <v>227500</v>
      </c>
      <c r="I140" s="12"/>
      <c r="J140" s="154">
        <f t="shared" si="19"/>
        <v>227500</v>
      </c>
      <c r="K140" s="154">
        <v>157500</v>
      </c>
      <c r="L140" s="153">
        <f t="shared" si="24"/>
        <v>-70000</v>
      </c>
      <c r="M140" s="162">
        <f t="shared" si="25"/>
        <v>0.6923076923076923</v>
      </c>
      <c r="N140" s="30"/>
    </row>
    <row r="141" spans="1:14" s="31" customFormat="1" ht="15" hidden="1" outlineLevel="1">
      <c r="A141" s="43" t="s">
        <v>142</v>
      </c>
      <c r="B141" s="21"/>
      <c r="C141" s="17">
        <v>14936143</v>
      </c>
      <c r="D141" s="12"/>
      <c r="E141" s="12"/>
      <c r="F141" s="12">
        <f>+E141+D141+C141+B141</f>
        <v>14936143</v>
      </c>
      <c r="G141" s="12"/>
      <c r="H141" s="12">
        <f>+G141+F141</f>
        <v>14936143</v>
      </c>
      <c r="I141" s="12"/>
      <c r="J141" s="154">
        <f t="shared" si="19"/>
        <v>14936143</v>
      </c>
      <c r="K141" s="154">
        <v>13308223.44</v>
      </c>
      <c r="L141" s="153">
        <f t="shared" si="24"/>
        <v>-1627919.5600000005</v>
      </c>
      <c r="M141" s="162">
        <f t="shared" si="25"/>
        <v>0.8910080360103676</v>
      </c>
      <c r="N141" s="30"/>
    </row>
    <row r="142" spans="1:14" s="31" customFormat="1" ht="15" hidden="1" outlineLevel="1">
      <c r="A142" s="43" t="s">
        <v>143</v>
      </c>
      <c r="B142" s="21"/>
      <c r="C142" s="17">
        <f>7750000+750000</f>
        <v>8500000</v>
      </c>
      <c r="D142" s="12"/>
      <c r="E142" s="12"/>
      <c r="F142" s="12">
        <f>+E142+D142+C142+B142</f>
        <v>8500000</v>
      </c>
      <c r="G142" s="12"/>
      <c r="H142" s="12">
        <f>+G142+F142</f>
        <v>8500000</v>
      </c>
      <c r="I142" s="12"/>
      <c r="J142" s="154">
        <f t="shared" si="19"/>
        <v>8500000</v>
      </c>
      <c r="K142" s="154">
        <v>8500000</v>
      </c>
      <c r="L142" s="153">
        <f t="shared" si="24"/>
        <v>0</v>
      </c>
      <c r="M142" s="162">
        <f t="shared" si="25"/>
        <v>1</v>
      </c>
      <c r="N142" s="30"/>
    </row>
    <row r="143" spans="1:14" s="31" customFormat="1" ht="15" collapsed="1">
      <c r="A143" s="34"/>
      <c r="B143" s="21"/>
      <c r="C143" s="12"/>
      <c r="D143" s="12"/>
      <c r="E143" s="12"/>
      <c r="F143" s="21"/>
      <c r="G143" s="12"/>
      <c r="H143" s="21"/>
      <c r="I143" s="21"/>
      <c r="J143" s="155"/>
      <c r="K143" s="155"/>
      <c r="L143" s="153"/>
      <c r="M143" s="163"/>
      <c r="N143" s="30"/>
    </row>
    <row r="144" spans="1:14" ht="15">
      <c r="A144" s="4" t="s">
        <v>144</v>
      </c>
      <c r="B144" s="12"/>
      <c r="C144" s="21"/>
      <c r="D144" s="21">
        <f>+D145+D150+D156+D162+D164</f>
        <v>1587715606</v>
      </c>
      <c r="E144" s="21"/>
      <c r="F144" s="21">
        <f>+F145+F150+F156+F162+F164</f>
        <v>1587715606</v>
      </c>
      <c r="G144" s="21"/>
      <c r="H144" s="21">
        <f>+H145+H150+H156+H162+H164</f>
        <v>1587715606</v>
      </c>
      <c r="I144" s="21">
        <f>+I145</f>
        <v>300005716</v>
      </c>
      <c r="J144" s="155">
        <f aca="true" t="shared" si="26" ref="J144:J173">+H144+I144</f>
        <v>1887721322</v>
      </c>
      <c r="K144" s="21">
        <f>+K145+K150+K156+K162+K164</f>
        <v>1829838997.44</v>
      </c>
      <c r="L144" s="153">
        <f t="shared" si="24"/>
        <v>-57882324.55999994</v>
      </c>
      <c r="M144" s="163">
        <f t="shared" si="25"/>
        <v>0.9693374631703185</v>
      </c>
      <c r="N144" s="1"/>
    </row>
    <row r="145" spans="1:14" s="31" customFormat="1" ht="15">
      <c r="A145" s="20" t="s">
        <v>145</v>
      </c>
      <c r="B145" s="21"/>
      <c r="C145" s="12"/>
      <c r="D145" s="9">
        <f>+SUM(D146:D149)</f>
        <v>863765616</v>
      </c>
      <c r="E145" s="12"/>
      <c r="F145" s="9">
        <f>+SUM(F146:F149)</f>
        <v>863765616</v>
      </c>
      <c r="G145" s="12"/>
      <c r="H145" s="9">
        <f>+SUM(H146:H149)</f>
        <v>863765616</v>
      </c>
      <c r="I145" s="9">
        <f>+I146+I147+I148+I149</f>
        <v>300005716</v>
      </c>
      <c r="J145" s="153">
        <f t="shared" si="26"/>
        <v>1163771332</v>
      </c>
      <c r="K145" s="9">
        <f>+SUM(K146:K149)</f>
        <v>1154966821</v>
      </c>
      <c r="L145" s="153">
        <f t="shared" si="24"/>
        <v>-8804511</v>
      </c>
      <c r="M145" s="164">
        <f t="shared" si="25"/>
        <v>0.992434500869798</v>
      </c>
      <c r="N145" s="30"/>
    </row>
    <row r="146" spans="1:14" s="31" customFormat="1" ht="15" hidden="1" outlineLevel="1">
      <c r="A146" s="34" t="s">
        <v>146</v>
      </c>
      <c r="B146" s="21"/>
      <c r="C146" s="12"/>
      <c r="D146" s="17">
        <f>646083961-15000000</f>
        <v>631083961</v>
      </c>
      <c r="E146" s="12"/>
      <c r="F146" s="12">
        <f>+E146+D146+C146+B146</f>
        <v>631083961</v>
      </c>
      <c r="G146" s="12"/>
      <c r="H146" s="12">
        <f aca="true" t="shared" si="27" ref="H146:H155">+G146+F146</f>
        <v>631083961</v>
      </c>
      <c r="I146" s="12">
        <v>300005716</v>
      </c>
      <c r="J146" s="154">
        <f t="shared" si="26"/>
        <v>931089677</v>
      </c>
      <c r="K146" s="154">
        <v>929491019</v>
      </c>
      <c r="L146" s="153">
        <f t="shared" si="24"/>
        <v>-1598658</v>
      </c>
      <c r="M146" s="162">
        <f t="shared" si="25"/>
        <v>0.9982830246758283</v>
      </c>
      <c r="N146" s="30"/>
    </row>
    <row r="147" spans="1:14" s="31" customFormat="1" ht="15" hidden="1" outlineLevel="1">
      <c r="A147" s="34" t="s">
        <v>147</v>
      </c>
      <c r="B147" s="21"/>
      <c r="C147" s="12"/>
      <c r="D147" s="17">
        <f>4269581-460000</f>
        <v>3809581</v>
      </c>
      <c r="E147" s="12"/>
      <c r="F147" s="12">
        <f>+E147+D147+C147+B147</f>
        <v>3809581</v>
      </c>
      <c r="G147" s="12"/>
      <c r="H147" s="12">
        <f t="shared" si="27"/>
        <v>3809581</v>
      </c>
      <c r="I147" s="12"/>
      <c r="J147" s="154">
        <f t="shared" si="26"/>
        <v>3809581</v>
      </c>
      <c r="K147" s="154">
        <v>847256</v>
      </c>
      <c r="L147" s="153">
        <f t="shared" si="24"/>
        <v>-2962325</v>
      </c>
      <c r="M147" s="162">
        <f t="shared" si="25"/>
        <v>0.222401361199565</v>
      </c>
      <c r="N147" s="30"/>
    </row>
    <row r="148" spans="1:14" s="31" customFormat="1" ht="15" hidden="1" outlineLevel="1">
      <c r="A148" s="34" t="s">
        <v>148</v>
      </c>
      <c r="B148" s="21"/>
      <c r="C148" s="12"/>
      <c r="D148" s="17">
        <v>182526645</v>
      </c>
      <c r="E148" s="12"/>
      <c r="F148" s="12">
        <f>+E148+D148+C148+B148</f>
        <v>182526645</v>
      </c>
      <c r="G148" s="12"/>
      <c r="H148" s="12">
        <f t="shared" si="27"/>
        <v>182526645</v>
      </c>
      <c r="I148" s="12"/>
      <c r="J148" s="154">
        <f t="shared" si="26"/>
        <v>182526645</v>
      </c>
      <c r="K148" s="154">
        <v>178285537</v>
      </c>
      <c r="L148" s="153">
        <f t="shared" si="24"/>
        <v>-4241108</v>
      </c>
      <c r="M148" s="162">
        <f t="shared" si="25"/>
        <v>0.9767644444459054</v>
      </c>
      <c r="N148" s="30"/>
    </row>
    <row r="149" spans="1:14" s="31" customFormat="1" ht="15" hidden="1" outlineLevel="1">
      <c r="A149" s="34" t="s">
        <v>149</v>
      </c>
      <c r="B149" s="21"/>
      <c r="C149" s="12"/>
      <c r="D149" s="17">
        <f>30885429+15000000+460000</f>
        <v>46345429</v>
      </c>
      <c r="E149" s="12"/>
      <c r="F149" s="12">
        <f>+E149+D149+C149+B149</f>
        <v>46345429</v>
      </c>
      <c r="G149" s="12"/>
      <c r="H149" s="12">
        <f t="shared" si="27"/>
        <v>46345429</v>
      </c>
      <c r="I149" s="12"/>
      <c r="J149" s="154">
        <f t="shared" si="26"/>
        <v>46345429</v>
      </c>
      <c r="K149" s="154">
        <v>46343009</v>
      </c>
      <c r="L149" s="153">
        <f t="shared" si="24"/>
        <v>-2420</v>
      </c>
      <c r="M149" s="162">
        <f t="shared" si="25"/>
        <v>0.9999477834157064</v>
      </c>
      <c r="N149" s="30"/>
    </row>
    <row r="150" spans="1:14" s="31" customFormat="1" ht="15" collapsed="1">
      <c r="A150" s="20" t="s">
        <v>150</v>
      </c>
      <c r="B150" s="21"/>
      <c r="C150" s="12"/>
      <c r="D150" s="9">
        <f>+D151+D154</f>
        <v>15998925</v>
      </c>
      <c r="E150" s="12"/>
      <c r="F150" s="21">
        <f>+F151+F154</f>
        <v>15998925</v>
      </c>
      <c r="G150" s="12"/>
      <c r="H150" s="21">
        <f t="shared" si="27"/>
        <v>15998925</v>
      </c>
      <c r="I150" s="21"/>
      <c r="J150" s="155">
        <f t="shared" si="26"/>
        <v>15998925</v>
      </c>
      <c r="K150" s="21">
        <f>+K151+K154</f>
        <v>4306941</v>
      </c>
      <c r="L150" s="153">
        <f t="shared" si="24"/>
        <v>-11691984</v>
      </c>
      <c r="M150" s="163">
        <f t="shared" si="25"/>
        <v>0.26920189950262285</v>
      </c>
      <c r="N150" s="30"/>
    </row>
    <row r="151" spans="1:14" s="31" customFormat="1" ht="15" hidden="1" outlineLevel="1">
      <c r="A151" s="20" t="s">
        <v>151</v>
      </c>
      <c r="B151" s="21"/>
      <c r="C151" s="12"/>
      <c r="D151" s="9">
        <f>+SUM(D152:D153)</f>
        <v>9999025</v>
      </c>
      <c r="E151" s="12"/>
      <c r="F151" s="9">
        <f>+SUM(F152:F153)</f>
        <v>9999025</v>
      </c>
      <c r="G151" s="12"/>
      <c r="H151" s="9">
        <f>+SUM(H152:H153)</f>
        <v>9999025</v>
      </c>
      <c r="I151" s="9"/>
      <c r="J151" s="153">
        <f t="shared" si="26"/>
        <v>9999025</v>
      </c>
      <c r="K151" s="9">
        <f>+SUM(K152:K153)</f>
        <v>4306941</v>
      </c>
      <c r="L151" s="153">
        <f t="shared" si="24"/>
        <v>-5692084</v>
      </c>
      <c r="M151" s="164">
        <f t="shared" si="25"/>
        <v>0.43073609676943503</v>
      </c>
      <c r="N151" s="30"/>
    </row>
    <row r="152" spans="1:14" s="31" customFormat="1" ht="15" hidden="1" outlineLevel="2">
      <c r="A152" s="34" t="s">
        <v>152</v>
      </c>
      <c r="B152" s="21"/>
      <c r="C152" s="12"/>
      <c r="D152" s="17">
        <v>2040500</v>
      </c>
      <c r="E152" s="12"/>
      <c r="F152" s="12">
        <f>+D152</f>
        <v>2040500</v>
      </c>
      <c r="G152" s="12"/>
      <c r="H152" s="12">
        <f t="shared" si="27"/>
        <v>2040500</v>
      </c>
      <c r="I152" s="12"/>
      <c r="J152" s="154">
        <f t="shared" si="26"/>
        <v>2040500</v>
      </c>
      <c r="K152" s="154">
        <v>1237608</v>
      </c>
      <c r="L152" s="153">
        <f t="shared" si="24"/>
        <v>-802892</v>
      </c>
      <c r="M152" s="162">
        <f t="shared" si="25"/>
        <v>0.6065219308992894</v>
      </c>
      <c r="N152" s="30"/>
    </row>
    <row r="153" spans="1:14" s="31" customFormat="1" ht="15" hidden="1" outlineLevel="2">
      <c r="A153" s="34" t="s">
        <v>153</v>
      </c>
      <c r="B153" s="21"/>
      <c r="C153" s="12"/>
      <c r="D153" s="17">
        <v>7958525</v>
      </c>
      <c r="E153" s="12"/>
      <c r="F153" s="12">
        <f>+D153</f>
        <v>7958525</v>
      </c>
      <c r="G153" s="12"/>
      <c r="H153" s="12">
        <f t="shared" si="27"/>
        <v>7958525</v>
      </c>
      <c r="I153" s="12"/>
      <c r="J153" s="154">
        <f t="shared" si="26"/>
        <v>7958525</v>
      </c>
      <c r="K153" s="154">
        <v>3069333</v>
      </c>
      <c r="L153" s="153">
        <f t="shared" si="24"/>
        <v>-4889192</v>
      </c>
      <c r="M153" s="162">
        <f t="shared" si="25"/>
        <v>0.3856660624927358</v>
      </c>
      <c r="N153" s="30"/>
    </row>
    <row r="154" spans="1:14" s="31" customFormat="1" ht="15" hidden="1" outlineLevel="1" collapsed="1">
      <c r="A154" s="20" t="s">
        <v>154</v>
      </c>
      <c r="B154" s="21"/>
      <c r="C154" s="12"/>
      <c r="D154" s="9">
        <f>+D155</f>
        <v>5999900</v>
      </c>
      <c r="E154" s="12"/>
      <c r="F154" s="21">
        <f>+F155</f>
        <v>5999900</v>
      </c>
      <c r="G154" s="12"/>
      <c r="H154" s="21">
        <f t="shared" si="27"/>
        <v>5999900</v>
      </c>
      <c r="I154" s="21"/>
      <c r="J154" s="155">
        <f t="shared" si="26"/>
        <v>5999900</v>
      </c>
      <c r="K154" s="21">
        <f>+K155</f>
        <v>0</v>
      </c>
      <c r="L154" s="153">
        <f t="shared" si="24"/>
        <v>-5999900</v>
      </c>
      <c r="M154" s="163">
        <f t="shared" si="25"/>
        <v>0</v>
      </c>
      <c r="N154" s="30"/>
    </row>
    <row r="155" spans="1:14" s="31" customFormat="1" ht="15" hidden="1" outlineLevel="2">
      <c r="A155" s="34" t="s">
        <v>155</v>
      </c>
      <c r="B155" s="21"/>
      <c r="C155" s="12"/>
      <c r="D155" s="17">
        <v>5999900</v>
      </c>
      <c r="E155" s="12"/>
      <c r="F155" s="12">
        <f>+D155</f>
        <v>5999900</v>
      </c>
      <c r="G155" s="12"/>
      <c r="H155" s="12">
        <f t="shared" si="27"/>
        <v>5999900</v>
      </c>
      <c r="I155" s="12"/>
      <c r="J155" s="154">
        <f t="shared" si="26"/>
        <v>5999900</v>
      </c>
      <c r="K155" s="154">
        <v>0</v>
      </c>
      <c r="L155" s="153">
        <f t="shared" si="24"/>
        <v>-5999900</v>
      </c>
      <c r="M155" s="162">
        <f t="shared" si="25"/>
        <v>0</v>
      </c>
      <c r="N155" s="30"/>
    </row>
    <row r="156" spans="1:14" s="31" customFormat="1" ht="15" collapsed="1">
      <c r="A156" s="20" t="s">
        <v>156</v>
      </c>
      <c r="B156" s="21"/>
      <c r="C156" s="12"/>
      <c r="D156" s="9">
        <f>+SUM(D157:D161)</f>
        <v>32621624</v>
      </c>
      <c r="E156" s="12"/>
      <c r="F156" s="9">
        <f>+SUM(F157:F161)</f>
        <v>32621624</v>
      </c>
      <c r="G156" s="12"/>
      <c r="H156" s="9">
        <f>+SUM(H157:H161)</f>
        <v>32621624</v>
      </c>
      <c r="I156" s="9"/>
      <c r="J156" s="153">
        <f t="shared" si="26"/>
        <v>32621624</v>
      </c>
      <c r="K156" s="9">
        <f>+SUM(K157:K161)</f>
        <v>31798905.2</v>
      </c>
      <c r="L156" s="153">
        <f t="shared" si="24"/>
        <v>-822718.8000000007</v>
      </c>
      <c r="M156" s="164">
        <f t="shared" si="25"/>
        <v>0.9747799557741208</v>
      </c>
      <c r="N156" s="30"/>
    </row>
    <row r="157" spans="1:14" s="31" customFormat="1" ht="15" hidden="1" outlineLevel="1">
      <c r="A157" s="33" t="s">
        <v>157</v>
      </c>
      <c r="B157" s="21"/>
      <c r="C157" s="12"/>
      <c r="D157" s="17">
        <f>10045312+1002902+168276</f>
        <v>11216490</v>
      </c>
      <c r="E157" s="12"/>
      <c r="F157" s="12">
        <f>+E157+D157+C157+B157</f>
        <v>11216490</v>
      </c>
      <c r="G157" s="17"/>
      <c r="H157" s="12">
        <f>+F157+G157</f>
        <v>11216490</v>
      </c>
      <c r="I157" s="12"/>
      <c r="J157" s="154">
        <f t="shared" si="26"/>
        <v>11216490</v>
      </c>
      <c r="K157" s="154">
        <v>11216489.6</v>
      </c>
      <c r="L157" s="153">
        <f t="shared" si="24"/>
        <v>-0.40000000037252903</v>
      </c>
      <c r="M157" s="162">
        <f t="shared" si="25"/>
        <v>0.9999999643382198</v>
      </c>
      <c r="N157" s="30"/>
    </row>
    <row r="158" spans="1:14" s="31" customFormat="1" ht="15" hidden="1" outlineLevel="1">
      <c r="A158" s="33" t="s">
        <v>158</v>
      </c>
      <c r="B158" s="21"/>
      <c r="C158" s="12"/>
      <c r="D158" s="12">
        <f>38752+4000000-168276</f>
        <v>3870476</v>
      </c>
      <c r="E158" s="12"/>
      <c r="F158" s="12">
        <f>+E158+D158+C158+B158</f>
        <v>3870476</v>
      </c>
      <c r="G158" s="17"/>
      <c r="H158" s="12">
        <f>+F158+G158</f>
        <v>3870476</v>
      </c>
      <c r="I158" s="12"/>
      <c r="J158" s="154">
        <f t="shared" si="26"/>
        <v>3870476</v>
      </c>
      <c r="K158" s="154">
        <v>3300385.6</v>
      </c>
      <c r="L158" s="153">
        <f t="shared" si="24"/>
        <v>-570090.3999999999</v>
      </c>
      <c r="M158" s="162">
        <f t="shared" si="25"/>
        <v>0.8527079356647607</v>
      </c>
      <c r="N158" s="30"/>
    </row>
    <row r="159" spans="1:14" s="31" customFormat="1" ht="15" hidden="1" outlineLevel="1">
      <c r="A159" s="33" t="s">
        <v>159</v>
      </c>
      <c r="B159" s="21"/>
      <c r="C159" s="12"/>
      <c r="D159" s="48">
        <v>6562872</v>
      </c>
      <c r="E159" s="12"/>
      <c r="F159" s="12">
        <f>+E159+D159+C159+B159</f>
        <v>6562872</v>
      </c>
      <c r="G159" s="17"/>
      <c r="H159" s="12">
        <f>+F159+G159</f>
        <v>6562872</v>
      </c>
      <c r="I159" s="12"/>
      <c r="J159" s="154">
        <f t="shared" si="26"/>
        <v>6562872</v>
      </c>
      <c r="K159" s="154">
        <v>6562872</v>
      </c>
      <c r="L159" s="153">
        <f t="shared" si="24"/>
        <v>0</v>
      </c>
      <c r="M159" s="162">
        <f t="shared" si="25"/>
        <v>1</v>
      </c>
      <c r="N159" s="30"/>
    </row>
    <row r="160" spans="1:14" s="31" customFormat="1" ht="15" hidden="1" outlineLevel="1">
      <c r="A160" s="33" t="s">
        <v>160</v>
      </c>
      <c r="B160" s="21"/>
      <c r="C160" s="12"/>
      <c r="D160" s="17">
        <f>3323800-1002902</f>
        <v>2320898</v>
      </c>
      <c r="E160" s="12"/>
      <c r="F160" s="12">
        <f>+E160+D160+C160+B160</f>
        <v>2320898</v>
      </c>
      <c r="G160" s="17"/>
      <c r="H160" s="12">
        <f>+F160+G160</f>
        <v>2320898</v>
      </c>
      <c r="I160" s="12"/>
      <c r="J160" s="154">
        <f t="shared" si="26"/>
        <v>2320898</v>
      </c>
      <c r="K160" s="154">
        <v>2320898</v>
      </c>
      <c r="L160" s="153">
        <f t="shared" si="24"/>
        <v>0</v>
      </c>
      <c r="M160" s="162">
        <f t="shared" si="25"/>
        <v>1</v>
      </c>
      <c r="N160" s="30"/>
    </row>
    <row r="161" spans="1:14" s="31" customFormat="1" ht="15" hidden="1" outlineLevel="1">
      <c r="A161" s="33" t="s">
        <v>161</v>
      </c>
      <c r="B161" s="21"/>
      <c r="C161" s="12"/>
      <c r="D161" s="17">
        <f>12650888-4000000</f>
        <v>8650888</v>
      </c>
      <c r="E161" s="9"/>
      <c r="F161" s="12">
        <f>+E161+D161+C161+B161</f>
        <v>8650888</v>
      </c>
      <c r="G161" s="12"/>
      <c r="H161" s="12">
        <f>+F161+G161</f>
        <v>8650888</v>
      </c>
      <c r="I161" s="12"/>
      <c r="J161" s="154">
        <f t="shared" si="26"/>
        <v>8650888</v>
      </c>
      <c r="K161" s="154">
        <v>8398260</v>
      </c>
      <c r="L161" s="153">
        <f t="shared" si="24"/>
        <v>-252628</v>
      </c>
      <c r="M161" s="162">
        <f t="shared" si="25"/>
        <v>0.970797448770577</v>
      </c>
      <c r="N161" s="30"/>
    </row>
    <row r="162" spans="1:14" ht="15" collapsed="1">
      <c r="A162" s="20" t="s">
        <v>162</v>
      </c>
      <c r="B162" s="12"/>
      <c r="C162" s="12"/>
      <c r="D162" s="9">
        <f>+D163</f>
        <v>33819881</v>
      </c>
      <c r="E162" s="12"/>
      <c r="F162" s="21">
        <f>+F163</f>
        <v>33819881</v>
      </c>
      <c r="G162" s="21"/>
      <c r="H162" s="21">
        <f>+G162+F162</f>
        <v>33819881</v>
      </c>
      <c r="I162" s="21"/>
      <c r="J162" s="155">
        <f t="shared" si="26"/>
        <v>33819881</v>
      </c>
      <c r="K162" s="21">
        <f>+K163</f>
        <v>33819776.239999995</v>
      </c>
      <c r="L162" s="153">
        <f t="shared" si="24"/>
        <v>-104.76000000536442</v>
      </c>
      <c r="M162" s="163">
        <f t="shared" si="25"/>
        <v>0.9999969024137014</v>
      </c>
      <c r="N162" s="1"/>
    </row>
    <row r="163" spans="1:14" ht="15" hidden="1" outlineLevel="1">
      <c r="A163" s="34" t="s">
        <v>163</v>
      </c>
      <c r="B163" s="12"/>
      <c r="C163" s="12"/>
      <c r="D163" s="17">
        <f>33793901+25980</f>
        <v>33819881</v>
      </c>
      <c r="E163" s="12"/>
      <c r="F163" s="12">
        <f>SUM(B163:E163)</f>
        <v>33819881</v>
      </c>
      <c r="G163" s="21"/>
      <c r="H163" s="12">
        <f>+F163+G163</f>
        <v>33819881</v>
      </c>
      <c r="I163" s="12"/>
      <c r="J163" s="154">
        <f t="shared" si="26"/>
        <v>33819881</v>
      </c>
      <c r="K163" s="154">
        <v>33819776.239999995</v>
      </c>
      <c r="L163" s="153">
        <f t="shared" si="24"/>
        <v>-104.76000000536442</v>
      </c>
      <c r="M163" s="162">
        <f t="shared" si="25"/>
        <v>0.9999969024137014</v>
      </c>
      <c r="N163" s="1"/>
    </row>
    <row r="164" spans="1:14" ht="15.75" customHeight="1" collapsed="1">
      <c r="A164" s="20" t="s">
        <v>164</v>
      </c>
      <c r="B164" s="12"/>
      <c r="C164" s="12"/>
      <c r="D164" s="9">
        <f>+D165+SUM(D168:D172)</f>
        <v>641509560</v>
      </c>
      <c r="E164" s="12"/>
      <c r="F164" s="9">
        <f>+F165+SUM(F168:F172)</f>
        <v>641509560</v>
      </c>
      <c r="G164" s="9"/>
      <c r="H164" s="9">
        <f>+H165+SUM(H168:H172)</f>
        <v>641509560</v>
      </c>
      <c r="I164" s="9"/>
      <c r="J164" s="153">
        <f t="shared" si="26"/>
        <v>641509560</v>
      </c>
      <c r="K164" s="9">
        <f>+K165+SUM(K168:K172)</f>
        <v>604946554</v>
      </c>
      <c r="L164" s="153">
        <f t="shared" si="24"/>
        <v>-36563006</v>
      </c>
      <c r="M164" s="164">
        <f t="shared" si="25"/>
        <v>0.9430047371390693</v>
      </c>
      <c r="N164" s="1"/>
    </row>
    <row r="165" spans="1:14" ht="15.75" customHeight="1" hidden="1" outlineLevel="1">
      <c r="A165" s="43" t="s">
        <v>165</v>
      </c>
      <c r="B165" s="12"/>
      <c r="C165" s="12"/>
      <c r="D165" s="17">
        <f>+D166+D167</f>
        <v>583100588</v>
      </c>
      <c r="E165" s="12"/>
      <c r="F165" s="12">
        <f aca="true" t="shared" si="28" ref="F165:F172">SUM(B165:E165)</f>
        <v>583100588</v>
      </c>
      <c r="G165" s="21"/>
      <c r="H165" s="12">
        <f aca="true" t="shared" si="29" ref="H165:H172">+F165+G165</f>
        <v>583100588</v>
      </c>
      <c r="I165" s="12"/>
      <c r="J165" s="154">
        <f t="shared" si="26"/>
        <v>583100588</v>
      </c>
      <c r="K165" s="12">
        <f>+K166+K167</f>
        <v>554531312</v>
      </c>
      <c r="L165" s="153">
        <f t="shared" si="24"/>
        <v>-28569276</v>
      </c>
      <c r="M165" s="162">
        <f t="shared" si="25"/>
        <v>0.9510045494929256</v>
      </c>
      <c r="N165" s="1"/>
    </row>
    <row r="166" spans="1:14" ht="15.75" customHeight="1" hidden="1" outlineLevel="2">
      <c r="A166" s="34" t="s">
        <v>166</v>
      </c>
      <c r="B166" s="12"/>
      <c r="C166" s="12"/>
      <c r="D166" s="17">
        <v>32026588</v>
      </c>
      <c r="E166" s="12"/>
      <c r="F166" s="12">
        <f t="shared" si="28"/>
        <v>32026588</v>
      </c>
      <c r="G166" s="21"/>
      <c r="H166" s="12">
        <f t="shared" si="29"/>
        <v>32026588</v>
      </c>
      <c r="I166" s="12"/>
      <c r="J166" s="154">
        <f t="shared" si="26"/>
        <v>32026588</v>
      </c>
      <c r="K166" s="154">
        <v>31947905</v>
      </c>
      <c r="L166" s="153">
        <f t="shared" si="24"/>
        <v>-78683</v>
      </c>
      <c r="M166" s="162">
        <f t="shared" si="25"/>
        <v>0.9975431975457392</v>
      </c>
      <c r="N166" s="1"/>
    </row>
    <row r="167" spans="1:14" ht="15.75" customHeight="1" hidden="1" outlineLevel="2">
      <c r="A167" s="34" t="s">
        <v>167</v>
      </c>
      <c r="B167" s="12"/>
      <c r="C167" s="12"/>
      <c r="D167" s="17">
        <v>551074000</v>
      </c>
      <c r="E167" s="12"/>
      <c r="F167" s="12">
        <f t="shared" si="28"/>
        <v>551074000</v>
      </c>
      <c r="G167" s="21"/>
      <c r="H167" s="12">
        <f t="shared" si="29"/>
        <v>551074000</v>
      </c>
      <c r="I167" s="12"/>
      <c r="J167" s="154">
        <f t="shared" si="26"/>
        <v>551074000</v>
      </c>
      <c r="K167" s="154">
        <v>522583407</v>
      </c>
      <c r="L167" s="153">
        <f t="shared" si="24"/>
        <v>-28490593</v>
      </c>
      <c r="M167" s="162">
        <f t="shared" si="25"/>
        <v>0.9482998780563046</v>
      </c>
      <c r="N167" s="1"/>
    </row>
    <row r="168" spans="1:14" ht="15" hidden="1" outlineLevel="1" collapsed="1">
      <c r="A168" s="43" t="s">
        <v>34</v>
      </c>
      <c r="B168" s="12"/>
      <c r="C168" s="12"/>
      <c r="D168" s="17">
        <v>6000000</v>
      </c>
      <c r="E168" s="12"/>
      <c r="F168" s="12">
        <f t="shared" si="28"/>
        <v>6000000</v>
      </c>
      <c r="G168" s="21"/>
      <c r="H168" s="12">
        <f t="shared" si="29"/>
        <v>6000000</v>
      </c>
      <c r="I168" s="12"/>
      <c r="J168" s="154">
        <f t="shared" si="26"/>
        <v>6000000</v>
      </c>
      <c r="K168" s="154">
        <v>5416642</v>
      </c>
      <c r="L168" s="153">
        <f t="shared" si="24"/>
        <v>-583358</v>
      </c>
      <c r="M168" s="162">
        <f t="shared" si="25"/>
        <v>0.9027736666666667</v>
      </c>
      <c r="N168" s="1"/>
    </row>
    <row r="169" spans="1:14" ht="15" hidden="1" outlineLevel="1">
      <c r="A169" s="43" t="s">
        <v>168</v>
      </c>
      <c r="B169" s="12"/>
      <c r="C169" s="12"/>
      <c r="D169" s="12">
        <v>0</v>
      </c>
      <c r="E169" s="12"/>
      <c r="F169" s="12">
        <f t="shared" si="28"/>
        <v>0</v>
      </c>
      <c r="G169" s="21"/>
      <c r="H169" s="12">
        <f t="shared" si="29"/>
        <v>0</v>
      </c>
      <c r="I169" s="12"/>
      <c r="J169" s="154">
        <f t="shared" si="26"/>
        <v>0</v>
      </c>
      <c r="K169" s="154">
        <v>0</v>
      </c>
      <c r="L169" s="153">
        <f t="shared" si="24"/>
        <v>0</v>
      </c>
      <c r="M169" s="162" t="e">
        <f t="shared" si="25"/>
        <v>#DIV/0!</v>
      </c>
      <c r="N169" s="1"/>
    </row>
    <row r="170" spans="1:14" ht="15" hidden="1" outlineLevel="1">
      <c r="A170" s="43" t="s">
        <v>169</v>
      </c>
      <c r="B170" s="12"/>
      <c r="C170" s="12"/>
      <c r="D170" s="17">
        <v>50342452</v>
      </c>
      <c r="E170" s="12"/>
      <c r="F170" s="12">
        <f t="shared" si="28"/>
        <v>50342452</v>
      </c>
      <c r="G170" s="12"/>
      <c r="H170" s="12">
        <f t="shared" si="29"/>
        <v>50342452</v>
      </c>
      <c r="I170" s="12"/>
      <c r="J170" s="154">
        <f t="shared" si="26"/>
        <v>50342452</v>
      </c>
      <c r="K170" s="154">
        <v>44682120</v>
      </c>
      <c r="L170" s="153">
        <f t="shared" si="24"/>
        <v>-5660332</v>
      </c>
      <c r="M170" s="162">
        <f t="shared" si="25"/>
        <v>0.8875634424799174</v>
      </c>
      <c r="N170" s="1"/>
    </row>
    <row r="171" spans="1:14" ht="15" hidden="1" outlineLevel="1">
      <c r="A171" s="43" t="s">
        <v>170</v>
      </c>
      <c r="B171" s="12"/>
      <c r="C171" s="12"/>
      <c r="D171" s="17">
        <v>800000</v>
      </c>
      <c r="E171" s="12"/>
      <c r="F171" s="12">
        <f t="shared" si="28"/>
        <v>800000</v>
      </c>
      <c r="G171" s="12"/>
      <c r="H171" s="12">
        <f t="shared" si="29"/>
        <v>800000</v>
      </c>
      <c r="I171" s="12"/>
      <c r="J171" s="154">
        <f t="shared" si="26"/>
        <v>800000</v>
      </c>
      <c r="K171" s="154">
        <v>0</v>
      </c>
      <c r="L171" s="153">
        <f t="shared" si="24"/>
        <v>-800000</v>
      </c>
      <c r="M171" s="162">
        <f t="shared" si="25"/>
        <v>0</v>
      </c>
      <c r="N171" s="1"/>
    </row>
    <row r="172" spans="1:14" ht="15" hidden="1" outlineLevel="1">
      <c r="A172" s="43" t="s">
        <v>171</v>
      </c>
      <c r="B172" s="12"/>
      <c r="C172" s="12"/>
      <c r="D172" s="17">
        <v>1266520</v>
      </c>
      <c r="E172" s="12"/>
      <c r="F172" s="12">
        <f t="shared" si="28"/>
        <v>1266520</v>
      </c>
      <c r="G172" s="12"/>
      <c r="H172" s="12">
        <f t="shared" si="29"/>
        <v>1266520</v>
      </c>
      <c r="I172" s="12"/>
      <c r="J172" s="154">
        <f t="shared" si="26"/>
        <v>1266520</v>
      </c>
      <c r="K172" s="154">
        <v>316480</v>
      </c>
      <c r="L172" s="153">
        <f t="shared" si="24"/>
        <v>-950040</v>
      </c>
      <c r="M172" s="162">
        <f t="shared" si="25"/>
        <v>0.24988156523386917</v>
      </c>
      <c r="N172" s="1"/>
    </row>
    <row r="173" spans="1:14" ht="15" hidden="1" outlineLevel="1">
      <c r="A173" s="34"/>
      <c r="B173" s="12"/>
      <c r="C173" s="12"/>
      <c r="D173" s="17"/>
      <c r="E173" s="12"/>
      <c r="F173" s="12"/>
      <c r="G173" s="12"/>
      <c r="H173" s="12"/>
      <c r="I173" s="12"/>
      <c r="J173" s="154">
        <f t="shared" si="26"/>
        <v>0</v>
      </c>
      <c r="K173" s="154"/>
      <c r="L173" s="153">
        <f t="shared" si="24"/>
        <v>0</v>
      </c>
      <c r="M173" s="162" t="e">
        <f t="shared" si="25"/>
        <v>#DIV/0!</v>
      </c>
      <c r="N173" s="1"/>
    </row>
    <row r="174" spans="1:14" ht="15" collapsed="1">
      <c r="A174" s="34"/>
      <c r="B174" s="12"/>
      <c r="C174" s="12"/>
      <c r="D174" s="17"/>
      <c r="E174" s="12"/>
      <c r="F174" s="12"/>
      <c r="G174" s="12"/>
      <c r="H174" s="12"/>
      <c r="I174" s="12"/>
      <c r="J174" s="154"/>
      <c r="K174" s="154"/>
      <c r="L174" s="153"/>
      <c r="M174" s="162"/>
      <c r="N174" s="1"/>
    </row>
    <row r="175" spans="1:14" ht="15">
      <c r="A175" s="29" t="s">
        <v>172</v>
      </c>
      <c r="B175" s="12"/>
      <c r="C175" s="12"/>
      <c r="D175" s="12"/>
      <c r="E175" s="12"/>
      <c r="F175" s="12"/>
      <c r="G175" s="46">
        <v>196098302</v>
      </c>
      <c r="H175" s="46">
        <f>+G175</f>
        <v>196098302</v>
      </c>
      <c r="I175" s="46">
        <v>82300000</v>
      </c>
      <c r="J175" s="157">
        <f>+H175+I175</f>
        <v>278398302</v>
      </c>
      <c r="K175" s="157">
        <v>278398302</v>
      </c>
      <c r="L175" s="153">
        <f t="shared" si="24"/>
        <v>0</v>
      </c>
      <c r="M175" s="166">
        <f t="shared" si="25"/>
        <v>1</v>
      </c>
      <c r="N175" s="1"/>
    </row>
    <row r="176" spans="1:14" ht="15">
      <c r="A176" s="20"/>
      <c r="B176" s="12"/>
      <c r="C176" s="12"/>
      <c r="D176" s="12"/>
      <c r="E176" s="12"/>
      <c r="F176" s="12"/>
      <c r="G176" s="12"/>
      <c r="H176" s="12"/>
      <c r="I176" s="12"/>
      <c r="J176" s="154"/>
      <c r="K176" s="154"/>
      <c r="L176" s="153"/>
      <c r="M176" s="162"/>
      <c r="N176" s="1"/>
    </row>
    <row r="177" spans="1:14" ht="15">
      <c r="A177" s="20"/>
      <c r="B177" s="12"/>
      <c r="C177" s="12"/>
      <c r="D177" s="12"/>
      <c r="E177" s="12"/>
      <c r="F177" s="12"/>
      <c r="G177" s="12"/>
      <c r="H177" s="12"/>
      <c r="I177" s="12"/>
      <c r="J177" s="154"/>
      <c r="K177" s="154"/>
      <c r="L177" s="153"/>
      <c r="M177" s="162"/>
      <c r="N177" s="1"/>
    </row>
    <row r="178" spans="1:14" ht="15">
      <c r="A178" s="49" t="s">
        <v>173</v>
      </c>
      <c r="B178" s="9">
        <f aca="true" t="shared" si="30" ref="B178:K178">+B175+B39+B37</f>
        <v>674155142.8387045</v>
      </c>
      <c r="C178" s="9">
        <f t="shared" si="30"/>
        <v>444249664.12279814</v>
      </c>
      <c r="D178" s="9">
        <f t="shared" si="30"/>
        <v>1909678023.1572108</v>
      </c>
      <c r="E178" s="9">
        <f t="shared" si="30"/>
        <v>912282169.3812852</v>
      </c>
      <c r="F178" s="9">
        <f t="shared" si="30"/>
        <v>3940364999.4999986</v>
      </c>
      <c r="G178" s="9">
        <f t="shared" si="30"/>
        <v>390371761.60917366</v>
      </c>
      <c r="H178" s="9">
        <f t="shared" si="30"/>
        <v>4330736761.109172</v>
      </c>
      <c r="I178" s="9">
        <f t="shared" si="30"/>
        <v>382305716</v>
      </c>
      <c r="J178" s="153">
        <f>+H178+I178</f>
        <v>4713042477.109172</v>
      </c>
      <c r="K178" s="9">
        <f t="shared" si="30"/>
        <v>4303331776.110001</v>
      </c>
      <c r="L178" s="153">
        <f t="shared" si="24"/>
        <v>-409710700.99917126</v>
      </c>
      <c r="M178" s="166">
        <f t="shared" si="25"/>
        <v>0.9130687442370614</v>
      </c>
      <c r="N178" s="182"/>
    </row>
    <row r="179" spans="1:14" ht="15.75" thickBot="1">
      <c r="A179" s="50"/>
      <c r="B179" s="51"/>
      <c r="C179" s="52"/>
      <c r="D179" s="52"/>
      <c r="E179" s="52"/>
      <c r="F179" s="52"/>
      <c r="G179" s="52"/>
      <c r="H179" s="52"/>
      <c r="I179" s="52"/>
      <c r="J179" s="159"/>
      <c r="K179" s="159"/>
      <c r="L179" s="177"/>
      <c r="M179" s="168"/>
      <c r="N179" s="1"/>
    </row>
    <row r="180" spans="1:14" ht="13.5" thickTop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1"/>
    </row>
    <row r="181" spans="1:14" ht="12.75">
      <c r="A181" s="53"/>
      <c r="B181" s="53"/>
      <c r="C181" s="54"/>
      <c r="D181" s="53"/>
      <c r="E181" s="53"/>
      <c r="F181" s="53"/>
      <c r="G181" s="54"/>
      <c r="N181" s="1"/>
    </row>
    <row r="182" spans="1:14" ht="12.75">
      <c r="A182" s="53"/>
      <c r="B182" s="53"/>
      <c r="C182" s="54"/>
      <c r="D182" s="53"/>
      <c r="E182" s="53"/>
      <c r="F182" s="53"/>
      <c r="G182" s="53"/>
      <c r="H182" s="56"/>
      <c r="I182" s="56"/>
      <c r="J182" s="56"/>
      <c r="K182" s="56"/>
      <c r="L182" s="56"/>
      <c r="M182" s="56"/>
      <c r="N182" s="1"/>
    </row>
    <row r="183" spans="1:14" ht="12.75">
      <c r="A183" s="53"/>
      <c r="B183" s="53"/>
      <c r="C183" s="53" t="s">
        <v>174</v>
      </c>
      <c r="D183" s="54">
        <f>+B178+C178+E178+G178</f>
        <v>2421058737.9519615</v>
      </c>
      <c r="E183" s="53"/>
      <c r="F183" s="54">
        <f>+H178-'[1]Anexo 1 Minagricultura'!F39</f>
        <v>-165426783.20982742</v>
      </c>
      <c r="G183" s="56"/>
      <c r="H183" s="54"/>
      <c r="I183" s="54"/>
      <c r="J183" s="54"/>
      <c r="K183" s="54"/>
      <c r="L183" s="54"/>
      <c r="M183" s="54"/>
      <c r="N183" s="1"/>
    </row>
    <row r="184" spans="1:14" ht="12.75">
      <c r="A184" s="53"/>
      <c r="B184" s="53"/>
      <c r="C184" s="53" t="s">
        <v>175</v>
      </c>
      <c r="D184" s="54">
        <f>+D178</f>
        <v>1909678023.1572108</v>
      </c>
      <c r="E184" s="53"/>
      <c r="F184" s="53"/>
      <c r="G184" s="54"/>
      <c r="H184" s="54"/>
      <c r="I184" s="54"/>
      <c r="J184" s="54"/>
      <c r="K184" s="54"/>
      <c r="L184" s="54"/>
      <c r="M184" s="54"/>
      <c r="N184" s="1"/>
    </row>
    <row r="185" spans="1:14" ht="12.75">
      <c r="A185" s="53"/>
      <c r="B185" s="53"/>
      <c r="C185" s="53"/>
      <c r="D185" s="53"/>
      <c r="E185" s="53"/>
      <c r="F185" s="53"/>
      <c r="G185" s="53"/>
      <c r="H185" s="54"/>
      <c r="I185" s="54"/>
      <c r="J185" s="54"/>
      <c r="K185" s="54"/>
      <c r="L185" s="54"/>
      <c r="M185" s="54"/>
      <c r="N185" s="1"/>
    </row>
    <row r="186" spans="1:14" ht="12.75">
      <c r="A186" s="53"/>
      <c r="B186" s="53"/>
      <c r="C186" s="53"/>
      <c r="D186" s="53"/>
      <c r="E186" s="53"/>
      <c r="F186" s="53"/>
      <c r="G186" s="53"/>
      <c r="H186" s="54"/>
      <c r="I186" s="54"/>
      <c r="J186" s="54"/>
      <c r="K186" s="54"/>
      <c r="L186" s="54"/>
      <c r="M186" s="54"/>
      <c r="N186" s="1"/>
    </row>
    <row r="187" spans="1:15" ht="25.5">
      <c r="A187" s="53"/>
      <c r="B187" s="53"/>
      <c r="C187" s="53"/>
      <c r="D187" s="53"/>
      <c r="E187" s="53"/>
      <c r="F187" s="53"/>
      <c r="G187" s="53"/>
      <c r="H187" s="54"/>
      <c r="I187" s="54"/>
      <c r="J187" s="54"/>
      <c r="K187" s="54"/>
      <c r="L187" s="54"/>
      <c r="M187" s="54"/>
      <c r="N187" s="1"/>
      <c r="O187" s="57"/>
    </row>
    <row r="188" spans="1:14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1"/>
    </row>
    <row r="189" spans="1:14" ht="12.75">
      <c r="A189" s="53"/>
      <c r="B189" s="53"/>
      <c r="C189" s="53"/>
      <c r="D189" s="53"/>
      <c r="E189" s="53"/>
      <c r="F189" s="53"/>
      <c r="G189" s="53"/>
      <c r="H189" s="54"/>
      <c r="I189" s="54"/>
      <c r="J189" s="54"/>
      <c r="K189" s="54"/>
      <c r="L189" s="54"/>
      <c r="M189" s="54"/>
      <c r="N189" s="1"/>
    </row>
    <row r="190" spans="1:14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1"/>
    </row>
    <row r="191" spans="1:14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1"/>
    </row>
    <row r="192" spans="1:14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1"/>
    </row>
    <row r="193" spans="1:14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1"/>
    </row>
    <row r="194" spans="1:14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1"/>
    </row>
    <row r="195" spans="1:14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1"/>
    </row>
    <row r="196" spans="1:14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1"/>
    </row>
    <row r="197" spans="1:14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1"/>
    </row>
    <row r="198" spans="1:14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1"/>
    </row>
    <row r="199" spans="1:14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1"/>
    </row>
    <row r="200" spans="1:14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1"/>
    </row>
    <row r="201" spans="1:14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1"/>
    </row>
    <row r="202" spans="1:14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1"/>
    </row>
    <row r="203" spans="1:14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1"/>
    </row>
    <row r="204" spans="1:14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1"/>
    </row>
    <row r="205" spans="1:14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1"/>
    </row>
    <row r="206" spans="1:14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1"/>
    </row>
    <row r="207" spans="1:14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1"/>
    </row>
    <row r="208" spans="1:14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1"/>
    </row>
    <row r="209" spans="1:14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1"/>
    </row>
    <row r="210" spans="1:14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1"/>
    </row>
    <row r="211" spans="1:14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1"/>
    </row>
    <row r="212" spans="1:14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1"/>
    </row>
    <row r="213" spans="1:14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1"/>
    </row>
    <row r="214" spans="1:14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1"/>
    </row>
    <row r="215" spans="1:14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1"/>
    </row>
    <row r="216" spans="1:14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1"/>
    </row>
    <row r="217" spans="1:14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1"/>
    </row>
    <row r="218" spans="1:14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1"/>
    </row>
    <row r="219" spans="1:14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1"/>
    </row>
    <row r="220" spans="1:14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1"/>
    </row>
    <row r="221" spans="1:14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1"/>
    </row>
    <row r="222" spans="1:14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1"/>
    </row>
    <row r="223" spans="1:14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1"/>
    </row>
    <row r="224" spans="1:14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1"/>
    </row>
    <row r="225" spans="1:14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1"/>
    </row>
    <row r="226" spans="1:14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1"/>
    </row>
    <row r="227" spans="1:14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1"/>
    </row>
    <row r="228" spans="1:14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1"/>
    </row>
    <row r="229" spans="1:14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1"/>
    </row>
    <row r="230" spans="1:14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1"/>
    </row>
  </sheetData>
  <sheetProtection/>
  <mergeCells count="5">
    <mergeCell ref="A5:M5"/>
    <mergeCell ref="A1:M1"/>
    <mergeCell ref="A2:M2"/>
    <mergeCell ref="A3:M3"/>
    <mergeCell ref="A4:M4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Asoporcicultores -  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martinezp</dc:creator>
  <cp:keywords/>
  <dc:description/>
  <cp:lastModifiedBy>Sandra Gonzalez</cp:lastModifiedBy>
  <cp:lastPrinted>2010-05-05T12:54:25Z</cp:lastPrinted>
  <dcterms:created xsi:type="dcterms:W3CDTF">2009-12-18T18:23:45Z</dcterms:created>
  <dcterms:modified xsi:type="dcterms:W3CDTF">2019-11-18T17:08:15Z</dcterms:modified>
  <cp:category/>
  <cp:version/>
  <cp:contentType/>
  <cp:contentStatus/>
</cp:coreProperties>
</file>