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45" yWindow="90" windowWidth="7245" windowHeight="7920" firstSheet="6" activeTab="7"/>
  </bookViews>
  <sheets>
    <sheet name="Presupuesto general" sheetId="1" state="hidden" r:id="rId1"/>
    <sheet name="2004VS2005" sheetId="2" state="hidden" r:id="rId2"/>
    <sheet name="Inversión total en programas" sheetId="3" state="hidden" r:id="rId3"/>
    <sheet name="MODELO CONTRATISTAS" sheetId="4" state="hidden" r:id="rId4"/>
    <sheet name="Servicios personal 2005" sheetId="5" state="hidden" r:id="rId5"/>
    <sheet name="Nómina 2004" sheetId="6" state="hidden" r:id="rId6"/>
    <sheet name="Anexo 1 " sheetId="7" r:id="rId7"/>
    <sheet name="Anexo 2" sheetId="8" r:id="rId8"/>
    <sheet name="por áreas" sheetId="9" r:id="rId9"/>
    <sheet name="Superavit"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hidden="1">'MODELO CONTRATISTAS'!$A$4:$J$40</definedName>
    <definedName name="_xlnm.Print_Area" localSheetId="6">'Anexo 1 '!$A$1:$AG$39</definedName>
    <definedName name="_xlnm.Print_Area" localSheetId="7">'Anexo 2'!$A$1:$Q$177</definedName>
    <definedName name="_xlnm.Print_Area" localSheetId="2">'Inversión total en programas'!$A$6:$D$106</definedName>
    <definedName name="_xlnm.Print_Area" localSheetId="8">'por áreas'!$A$1:$H$182</definedName>
    <definedName name="_xlnm.Print_Area" localSheetId="0">'Presupuesto general'!$A$1:$F$63</definedName>
    <definedName name="_xlnm.Print_Area" localSheetId="9">'Superavit'!$A$1:$C$29</definedName>
    <definedName name="ASISCALLCENTER">#REF!</definedName>
    <definedName name="ASISCONTABPPC">#REF!</definedName>
    <definedName name="ASISDESPACHOS">#REF!</definedName>
    <definedName name="ASISICA">#REF!</definedName>
    <definedName name="AUXBODEGA">#REF!</definedName>
    <definedName name="CABEZAS_PROYEC" localSheetId="6">'Anexo 1 '!#REF!</definedName>
    <definedName name="CABEZAS_PROYEC">#REF!</definedName>
    <definedName name="CUOTAPPC2005" localSheetId="6">'Anexo 1 '!$B$15</definedName>
    <definedName name="CUOTAPPC2005">#REF!</definedName>
    <definedName name="DIAG_PPC">'Inversión total en programas'!$B$86</definedName>
    <definedName name="eeeee">#REF!</definedName>
    <definedName name="EPPC" localSheetId="6">'Anexo 1 '!#REF!</definedName>
    <definedName name="EPPC">#REF!</definedName>
    <definedName name="FOMENTO" localSheetId="6">'Anexo 1 '!#REF!</definedName>
    <definedName name="FOMENTO">#REF!</definedName>
    <definedName name="FOMENTOS">'[1]Anexo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#REF!</definedName>
    <definedName name="saldos">#REF!</definedName>
    <definedName name="SUPERA2004" localSheetId="6">'Anexo 1 '!#REF!</definedName>
    <definedName name="SUPERA2004">#REF!</definedName>
    <definedName name="SUPERA2005" localSheetId="6">'Anexo 1 '!#REF!</definedName>
    <definedName name="SUPERA2005">#REF!</definedName>
    <definedName name="SUPERAVIT">#REF!</definedName>
    <definedName name="SUPERAVIT2005_FNP">#REF!</definedName>
    <definedName name="SUPERAVITPPC_2005">#REF!</definedName>
    <definedName name="_xlnm.Print_Titles" localSheetId="7">'Anexo 2'!$1:$6</definedName>
    <definedName name="_xlnm.Print_Titles" localSheetId="2">'Inversión total en programas'!$1:$5</definedName>
    <definedName name="_xlnm.Print_Titles" localSheetId="8">'por áreas'!$1:$6</definedName>
    <definedName name="VTAS2005" localSheetId="6">'Anexo 1 '!$B$32</definedName>
    <definedName name="VTAS2005">#REF!</definedName>
    <definedName name="xx">'[2]Ingresos'!$C$19</definedName>
    <definedName name="Z_4099E833_BB74_4680_85C9_A6CF399D1CE2_.wvu.Cols" localSheetId="6" hidden="1">'[3]Nómina 2004'!$C:$E,'[3]Nómina 2004'!$H:$I,'[3]Nómina 2004'!$L:$P,'[3]Nómina 2004'!$AF:$AH</definedName>
    <definedName name="Z_4099E833_BB74_4680_85C9_A6CF399D1CE2_.wvu.Cols" localSheetId="8" hidden="1">'[4]Nómina 2004'!$C:$E,'[4]Nómina 2004'!$H:$I,'[4]Nómina 2004'!$L:$P,'[4]Nómina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6" hidden="1">'Anexo 1 '!$A$1:$B$39</definedName>
    <definedName name="Z_4099E833_BB74_4680_85C9_A6CF399D1CE2_.wvu.PrintArea" localSheetId="2" hidden="1">'Inversión total en programas'!$A$6:$D$106</definedName>
    <definedName name="Z_4099E833_BB74_4680_85C9_A6CF399D1CE2_.wvu.PrintArea" localSheetId="0" hidden="1">'Presupuesto general'!$A$1:$F$63</definedName>
    <definedName name="Z_4099E833_BB74_4680_85C9_A6CF399D1CE2_.wvu.PrintTitles" hidden="1">'Inversión total en programas'!$1:$5</definedName>
    <definedName name="Z_4099E833_BB74_4680_85C9_A6CF399D1CE2_.wvu.Rows" localSheetId="6" hidden="1">'[3]Inversión total en programas'!$50:$50,'[3]Inversión total en programas'!$60:$63</definedName>
    <definedName name="Z_4099E833_BB74_4680_85C9_A6CF399D1CE2_.wvu.Rows" localSheetId="8" hidden="1">'[4]Inversión total en programas'!$50:$50,'[4]Inversión total en programas'!$60:$63</definedName>
    <definedName name="Z_4099E833_BB74_4680_85C9_A6CF399D1CE2_.wvu.Rows" hidden="1">'Inversión total en programas'!$50:$50,'Inversión total en programas'!$60:$63</definedName>
  </definedNames>
  <calcPr fullCalcOnLoad="1"/>
</workbook>
</file>

<file path=xl/comments3.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7.xml><?xml version="1.0" encoding="utf-8"?>
<comments xmlns="http://schemas.openxmlformats.org/spreadsheetml/2006/main">
  <authors>
    <author>martinezp</author>
    <author>Asoporcicultores</author>
  </authors>
  <commentList>
    <comment ref="V36" authorId="0">
      <text>
        <r>
          <rPr>
            <sz val="11"/>
            <rFont val="Tahoma"/>
            <family val="2"/>
          </rPr>
          <t xml:space="preserve">ejecución del gasto área económica seguimiento conpes, trazabilidad y comisión sacrificio
</t>
        </r>
      </text>
    </comment>
    <comment ref="W36" authorId="1">
      <text>
        <r>
          <rPr>
            <sz val="10"/>
            <rFont val="Tahoma"/>
            <family val="2"/>
          </rPr>
          <t>ingreso de asistencia técnica y monitoreo productores IAT y ejecución del gasto área económica IAT MADR, Nómina el 80%, seguimiento conpes, trazabilidad y comisión sacrificio e Ingresos Feria Carne de Cerdo</t>
        </r>
      </text>
    </comment>
    <comment ref="X36" authorId="0">
      <text>
        <r>
          <rPr>
            <sz val="8"/>
            <rFont val="Tahoma"/>
            <family val="2"/>
          </rPr>
          <t>ingreso de asistencia técnica IAT y monitoreo productores IAT, carta de entendimiento y ejecución del gasto área económica IAT MADR, Nómina e</t>
        </r>
        <r>
          <rPr>
            <b/>
            <sz val="8"/>
            <rFont val="Tahoma"/>
            <family val="2"/>
          </rPr>
          <t xml:space="preserve">l </t>
        </r>
        <r>
          <rPr>
            <sz val="8"/>
            <rFont val="Tahoma"/>
            <family val="2"/>
          </rPr>
          <t>80%, seguimiento conpes, trazabilidad y comisión sacrificio e Ingresos Feria Carne de Cerdo</t>
        </r>
        <r>
          <rPr>
            <sz val="8"/>
            <rFont val="Tahoma"/>
            <family val="2"/>
          </rPr>
          <t xml:space="preserve">
</t>
        </r>
      </text>
    </comment>
    <comment ref="V37" authorId="0">
      <text>
        <r>
          <rPr>
            <sz val="10"/>
            <rFont val="Tahoma"/>
            <family val="2"/>
          </rPr>
          <t>Valor ejecutado en el trimestre por PPC- Convenio MADR</t>
        </r>
        <r>
          <rPr>
            <sz val="8"/>
            <rFont val="Tahoma"/>
            <family val="2"/>
          </rPr>
          <t xml:space="preserve">
</t>
        </r>
      </text>
    </comment>
    <comment ref="W37" authorId="0">
      <text>
        <r>
          <rPr>
            <sz val="8"/>
            <rFont val="Tahoma"/>
            <family val="2"/>
          </rPr>
          <t xml:space="preserve">ejecución de ciclos de vacunación ppc
</t>
        </r>
      </text>
    </comment>
  </commentList>
</comments>
</file>

<file path=xl/comments9.xml><?xml version="1.0" encoding="utf-8"?>
<comments xmlns="http://schemas.openxmlformats.org/spreadsheetml/2006/main">
  <authors>
    <author>YennyBenavides</author>
  </authors>
  <commentList>
    <comment ref="D19" authorId="0">
      <text>
        <r>
          <rPr>
            <b/>
            <sz val="8"/>
            <rFont val="Tahoma"/>
            <family val="2"/>
          </rPr>
          <t>Diego Mejia y Nelson Rivera</t>
        </r>
        <r>
          <rPr>
            <sz val="8"/>
            <rFont val="Tahoma"/>
            <family val="2"/>
          </rPr>
          <t xml:space="preserve">
</t>
        </r>
      </text>
    </comment>
  </commentList>
</comments>
</file>

<file path=xl/sharedStrings.xml><?xml version="1.0" encoding="utf-8"?>
<sst xmlns="http://schemas.openxmlformats.org/spreadsheetml/2006/main" count="970" uniqueCount="514">
  <si>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</si>
  <si>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</si>
  <si>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</si>
  <si>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</si>
  <si>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</si>
  <si>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</si>
  <si>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</si>
  <si>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</si>
  <si>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</si>
  <si>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</si>
  <si>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</si>
  <si>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</si>
  <si>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</si>
  <si>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</si>
  <si>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</si>
  <si>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</si>
  <si>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GASTOS DE FUNCIONAMIENTO</t>
  </si>
  <si>
    <t>TOTAL PROGRAMAS Y PROYECTOS</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</si>
  <si>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</si>
  <si>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</si>
  <si>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</si>
  <si>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</si>
  <si>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</si>
  <si>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</si>
  <si>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</si>
  <si>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</si>
  <si>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</si>
  <si>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</si>
  <si>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</si>
  <si>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</si>
  <si>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</si>
  <si>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</si>
  <si>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</si>
  <si>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</si>
  <si>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</si>
  <si>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</si>
  <si>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</si>
  <si>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</si>
  <si>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</si>
  <si>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</si>
  <si>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</si>
  <si>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</si>
  <si>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</si>
  <si>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</si>
  <si>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</si>
  <si>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</si>
  <si>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</si>
  <si>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</si>
  <si>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</si>
  <si>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</si>
  <si>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</si>
  <si>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</si>
  <si>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</si>
  <si>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</si>
  <si>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</si>
  <si>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</si>
  <si>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</si>
  <si>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</si>
  <si>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</si>
  <si>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</si>
  <si>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</si>
  <si>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</si>
  <si>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</si>
  <si>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</si>
  <si>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</si>
  <si>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</si>
  <si>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</si>
  <si>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</si>
  <si>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</si>
  <si>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</si>
  <si>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</si>
  <si>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</si>
  <si>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</si>
  <si>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</si>
  <si>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</si>
  <si>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</si>
  <si>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</si>
  <si>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</si>
  <si>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</si>
  <si>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</si>
  <si>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</si>
  <si>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</si>
  <si>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</si>
  <si>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</si>
  <si>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</si>
  <si>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</si>
  <si>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</si>
  <si>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</si>
  <si>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</si>
  <si>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</si>
  <si>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</si>
  <si>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</si>
  <si>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</si>
  <si>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</si>
  <si>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</si>
  <si>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</si>
  <si>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</si>
  <si>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</si>
  <si>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</si>
  <si>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</si>
  <si>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</si>
  <si>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</si>
  <si>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</si>
  <si>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</si>
  <si>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</si>
  <si>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</si>
  <si>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</si>
  <si>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</si>
  <si>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</si>
  <si>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</si>
  <si>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</si>
  <si>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</si>
  <si>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</si>
  <si>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</si>
  <si>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</si>
  <si>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</si>
  <si>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</si>
  <si>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</si>
  <si>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</si>
  <si>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</si>
  <si>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</si>
  <si>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</si>
  <si>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</si>
  <si>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</si>
  <si>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</si>
  <si>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</si>
  <si>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</si>
  <si>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</si>
  <si>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</si>
  <si>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</si>
  <si>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</si>
  <si>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</si>
  <si>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</si>
  <si>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</si>
  <si>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</si>
  <si>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</si>
  <si>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</si>
  <si>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</si>
  <si>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</si>
  <si>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</si>
  <si>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</si>
  <si>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</si>
  <si>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</si>
  <si>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</si>
  <si>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</si>
  <si>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</si>
  <si>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</si>
  <si>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FNP</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</si>
  <si>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</si>
  <si>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</si>
  <si>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</si>
  <si>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</si>
  <si>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</si>
  <si>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</si>
  <si>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</si>
  <si>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</si>
  <si>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</si>
  <si>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Fortalecimiento al recaudo</t>
  </si>
  <si>
    <t>RESERVA</t>
  </si>
  <si>
    <t>Diagnóstico rutinario</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</si>
  <si>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</si>
  <si>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</si>
  <si>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</si>
  <si>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</si>
  <si>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</si>
  <si>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</si>
  <si>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</si>
  <si>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</si>
  <si>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</si>
  <si>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</si>
  <si>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</si>
  <si>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</si>
  <si>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</si>
  <si>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</si>
  <si>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</si>
  <si>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</si>
  <si>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</si>
  <si>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</si>
  <si>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</si>
  <si>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</si>
  <si>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</si>
  <si>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</si>
  <si>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</si>
  <si>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</si>
  <si>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</si>
  <si>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</si>
  <si>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</si>
  <si>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</si>
  <si>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</si>
  <si>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</si>
  <si>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</si>
  <si>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</si>
  <si>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</si>
  <si>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</si>
  <si>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</si>
  <si>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</si>
  <si>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</si>
  <si>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</si>
  <si>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</si>
  <si>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</si>
  <si>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</si>
  <si>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</si>
  <si>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</si>
  <si>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</si>
  <si>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</si>
  <si>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</si>
  <si>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</si>
  <si>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</si>
  <si>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</si>
  <si>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</si>
  <si>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</si>
  <si>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</si>
  <si>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</si>
  <si>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</si>
  <si>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</si>
  <si>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</si>
  <si>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</si>
  <si>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</si>
  <si>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</si>
  <si>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</si>
  <si>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</si>
  <si>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</si>
  <si>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</si>
  <si>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</si>
  <si>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</si>
  <si>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</si>
  <si>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</si>
  <si>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</si>
  <si>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</si>
  <si>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</si>
  <si>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</si>
  <si>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</si>
  <si>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</si>
  <si>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</si>
  <si>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</si>
  <si>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</si>
  <si>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</si>
  <si>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</si>
  <si>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</si>
  <si>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</si>
  <si>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</si>
  <si>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</si>
  <si>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</si>
  <si>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</si>
  <si>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</si>
  <si>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</si>
  <si>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</si>
  <si>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</si>
  <si>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</si>
  <si>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</si>
  <si>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</si>
  <si>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Servicios de personal</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</si>
  <si>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</si>
  <si>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</si>
  <si>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</si>
  <si>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</si>
  <si>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</si>
  <si>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</si>
  <si>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</si>
  <si>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</si>
  <si>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</si>
  <si>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</si>
  <si>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</si>
  <si>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Mesas de trabajo</t>
  </si>
  <si>
    <t>Aislamiento y caracterización del virus de la PPC</t>
  </si>
  <si>
    <t>Detección de anticuerpos contra el virus de la PPC</t>
  </si>
  <si>
    <t xml:space="preserve">Monitoreo información de precios </t>
  </si>
  <si>
    <t>Gastos de viaje</t>
  </si>
  <si>
    <t xml:space="preserve">     Talleres de formación PPC</t>
  </si>
  <si>
    <t xml:space="preserve">     Asesoría internacional</t>
  </si>
  <si>
    <t>Ciclos de vacunación</t>
  </si>
  <si>
    <t>Gestión Ambiental</t>
  </si>
  <si>
    <t>Centro de servicios técnicos y financieros</t>
  </si>
  <si>
    <t>COMSAC</t>
  </si>
  <si>
    <t>Participación en negociaciones</t>
  </si>
  <si>
    <t>Eventos investigativos</t>
  </si>
  <si>
    <t xml:space="preserve">  Home panel</t>
  </si>
  <si>
    <t xml:space="preserve">  Brand tracking - Brand equity</t>
  </si>
  <si>
    <t>Calidad e inocuidad de la cadena cárnica</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</si>
  <si>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</si>
  <si>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</si>
  <si>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</si>
  <si>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</si>
  <si>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</si>
  <si>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</si>
  <si>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</si>
  <si>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</si>
  <si>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</si>
  <si>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 xml:space="preserve">   Proyectos aprobados 2007</t>
  </si>
  <si>
    <t xml:space="preserve">   Proyectos aprobados 2008</t>
  </si>
  <si>
    <t xml:space="preserve">   Red nacional de investigación</t>
  </si>
  <si>
    <t xml:space="preserve">     Brigadas</t>
  </si>
  <si>
    <t xml:space="preserve">     Compra de biológico, chapetas y tenazas</t>
  </si>
  <si>
    <t xml:space="preserve">TOTAL GASTOS </t>
  </si>
  <si>
    <t>Convenio MADR</t>
  </si>
  <si>
    <t>Gastos de interventoria Convenio MADR</t>
  </si>
  <si>
    <t>Contratación de personal</t>
  </si>
  <si>
    <t>Campaña de fomento al consumo</t>
  </si>
  <si>
    <t xml:space="preserve">   Material POP</t>
  </si>
  <si>
    <t xml:space="preserve">   Asesorías HACCP y BPM</t>
  </si>
  <si>
    <t xml:space="preserve">   Asesorías ASA-IM</t>
  </si>
  <si>
    <t>Divulgación sectorial</t>
  </si>
  <si>
    <t xml:space="preserve">   Pauta institucional</t>
  </si>
  <si>
    <t>Programa nacional de mejoramiento del estatus sanitario</t>
  </si>
  <si>
    <t>Fortalecimiento de la capacidad diagnóstica</t>
  </si>
  <si>
    <t xml:space="preserve">  Entrenamiento</t>
  </si>
  <si>
    <t xml:space="preserve">       Contrapartida MADR</t>
  </si>
  <si>
    <t>ANEXO 2</t>
  </si>
  <si>
    <t>% EJECUCION ANUAL</t>
  </si>
  <si>
    <t>SOLICITADO</t>
  </si>
  <si>
    <t>solicitado DEFINITIVO</t>
  </si>
  <si>
    <t>Solicitado DEFINITIVO</t>
  </si>
  <si>
    <t>EJECUCIÒN</t>
  </si>
  <si>
    <t>% EJECUCIÒN</t>
  </si>
  <si>
    <t>INICIAL</t>
  </si>
  <si>
    <t>ENERO-MARZO</t>
  </si>
  <si>
    <t>ABRIL-JUNIO</t>
  </si>
  <si>
    <t>JULIO-SEPTIEMBRE</t>
  </si>
  <si>
    <t>OCTUBRE-DICIEMBRE</t>
  </si>
  <si>
    <t>ANUAL</t>
  </si>
  <si>
    <t>INGRESOS OPERACIONALES</t>
  </si>
  <si>
    <t xml:space="preserve">CUOTA DE FOMENTO PORCÍCOLA </t>
  </si>
  <si>
    <t>Cuota de Fomento</t>
  </si>
  <si>
    <t>Cuota de Erradicación Peste Porcina Clásica</t>
  </si>
  <si>
    <t>CUOTA VIGENCIAS ANTERIORES</t>
  </si>
  <si>
    <t>SUPERÁVIT VIGENCIAS ANTERIORES</t>
  </si>
  <si>
    <t>INGRESOS NO OPERACIONALES</t>
  </si>
  <si>
    <t>Rendimientos Financieros FNP</t>
  </si>
  <si>
    <t>Rendimientos Financieros PPC</t>
  </si>
  <si>
    <t>OTROS INGRESOS</t>
  </si>
  <si>
    <t>Ventas Programa PPC</t>
  </si>
  <si>
    <t>Financieros FNP</t>
  </si>
  <si>
    <t>Financieros PPC</t>
  </si>
  <si>
    <t>Extraordinarios FNP</t>
  </si>
  <si>
    <t>Programas y proyectos FNP</t>
  </si>
  <si>
    <t>Programas y proyectos PPC</t>
  </si>
  <si>
    <t>VARIABLES DE INGRESOS VIGENCIA 2009</t>
  </si>
  <si>
    <t>CABEZAS ESTIMADAS AÑO 2008</t>
  </si>
  <si>
    <t>Incremento presupuestado</t>
  </si>
  <si>
    <t>TOTAL CABEZAS MAS INCREMENTO PARA 2009</t>
  </si>
  <si>
    <t>SALARIO MÍNIMO MENSUAL LEGAL VIGENTE AÑO 2008</t>
  </si>
  <si>
    <t>TOTAL S.M.M.L.V MAS INCREMENTO</t>
  </si>
  <si>
    <t>Salario diario legal vigente estimado año 2009</t>
  </si>
  <si>
    <t>CUOTA FOMENTO PORCICOLA ESTIMADA AÑO 2009</t>
  </si>
  <si>
    <t>CUOTA EPPC ESTIMADA AÑO 2009</t>
  </si>
  <si>
    <t>TOTAL CUOTA</t>
  </si>
  <si>
    <t>TENAZAS</t>
  </si>
  <si>
    <t>UNIDADES</t>
  </si>
  <si>
    <t>BULONES</t>
  </si>
  <si>
    <t>l</t>
  </si>
  <si>
    <t>BIOLÓGICO</t>
  </si>
  <si>
    <t>OPCION 1</t>
  </si>
  <si>
    <t>CHAPETAS</t>
  </si>
  <si>
    <t>TOTAL VENTAS PPC</t>
  </si>
  <si>
    <t>RENDIMIENTOS FINANCIEROS</t>
  </si>
  <si>
    <t>INGRESOS EXTRAORDINARIOS FNP</t>
  </si>
  <si>
    <t>OTROS INGRESOS FINANCIEROS</t>
  </si>
  <si>
    <t>PRECIO</t>
  </si>
  <si>
    <t>INGRESO FNP</t>
  </si>
  <si>
    <t>GASTO FNP</t>
  </si>
  <si>
    <t>INGRESO PPC</t>
  </si>
  <si>
    <t>GASTO PPC</t>
  </si>
  <si>
    <t>DETALLE</t>
  </si>
  <si>
    <t>TOTALES</t>
  </si>
  <si>
    <t>Cuota de Fomento Porcícola</t>
  </si>
  <si>
    <t>Cuota erradicación Peste Porcína</t>
  </si>
  <si>
    <t>Cuota de Fomento (vigencias anteriores)</t>
  </si>
  <si>
    <t>Cuota de Erradicación Peste Porcina Clásica (vigencias anteriores)</t>
  </si>
  <si>
    <t>Superavit vigencias anteriores</t>
  </si>
  <si>
    <t>Programa y proyectos PPC</t>
  </si>
  <si>
    <t>GASTOS TOTALES</t>
  </si>
  <si>
    <t>Servicios personales</t>
  </si>
  <si>
    <t>Gastos generales</t>
  </si>
  <si>
    <t>Cuota de administración</t>
  </si>
  <si>
    <t>Programas</t>
  </si>
  <si>
    <t>Programa</t>
  </si>
  <si>
    <t>ACUERDO 3/10</t>
  </si>
  <si>
    <t>EJECUCIÓN PRESUPUESTO DE GASTOS DE FUNCIONAMIENTO E INVERSIÓN 2.010</t>
  </si>
  <si>
    <t>PRESUPUESTO INICIAL</t>
  </si>
  <si>
    <t>ACUERDO 4/10</t>
  </si>
  <si>
    <t>ACUERDO 7/10</t>
  </si>
  <si>
    <t>ACUERDO 10/10</t>
  </si>
  <si>
    <t>ACUERDO 13/10</t>
  </si>
  <si>
    <t>ACUERDO 14/10</t>
  </si>
  <si>
    <t>PRESUPUESTO DEFINITIVO</t>
  </si>
  <si>
    <t xml:space="preserve">Cadena porcícola </t>
  </si>
  <si>
    <t>Convenio MADR- seguimiento CONPES</t>
  </si>
  <si>
    <t>Estudio: Actualización de los parámetros y ecuación de Magro - 2 zonas</t>
  </si>
  <si>
    <t>Convenio MADR -Trazabilidad</t>
  </si>
  <si>
    <t>Jornada de capacitación coordinadores</t>
  </si>
  <si>
    <t>Seguimiento recaudo regional</t>
  </si>
  <si>
    <t>Convenio MADR -Comisión de Sacrificio - Trabajo con autoridades</t>
  </si>
  <si>
    <t xml:space="preserve">  Post test de campaña</t>
  </si>
  <si>
    <t xml:space="preserve">  Estudio científico</t>
  </si>
  <si>
    <t xml:space="preserve">  Monitoreo de Medios</t>
  </si>
  <si>
    <t>Desarrollo de un sello de respaldo</t>
  </si>
  <si>
    <t xml:space="preserve">  Divulgadores Técnicos-Comerciales</t>
  </si>
  <si>
    <t xml:space="preserve">  Otras asesorias en BPM - Sello de Respaldo</t>
  </si>
  <si>
    <t xml:space="preserve">  Autorización de capacitación continuada ante ETS</t>
  </si>
  <si>
    <t xml:space="preserve">  Eventos entrega Sello de respaldo</t>
  </si>
  <si>
    <t xml:space="preserve">  Asesorias ASA-IM puntos de venta</t>
  </si>
  <si>
    <t xml:space="preserve">  Material de apoyo</t>
  </si>
  <si>
    <t xml:space="preserve">Sensibilización a profesionales </t>
  </si>
  <si>
    <t xml:space="preserve">  Asesorias Nutricionistas</t>
  </si>
  <si>
    <t xml:space="preserve">  Asesorías Chef</t>
  </si>
  <si>
    <t xml:space="preserve">  Actividad Día Saludable</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</si>
  <si>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</si>
  <si>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</si>
  <si>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</si>
  <si>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</si>
  <si>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</si>
  <si>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</si>
  <si>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</si>
  <si>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 xml:space="preserve">  Otras asesorias en calidad, inocuidad y ambiental PB</t>
  </si>
  <si>
    <t xml:space="preserve">   Kit publicitario</t>
  </si>
  <si>
    <t xml:space="preserve">   Porciamericas</t>
  </si>
  <si>
    <t>Canales de comercialización</t>
  </si>
  <si>
    <t xml:space="preserve">   Estrategia educativa</t>
  </si>
  <si>
    <t>Carta de entendimiento No. 2 ICA</t>
  </si>
  <si>
    <t xml:space="preserve">Laboratorios Privados </t>
  </si>
  <si>
    <t>Carta de entendimiento No.3</t>
  </si>
  <si>
    <t>Evaluación periódica de bioseguridad y sanidad</t>
  </si>
  <si>
    <t>Diagnóstico de laboratorio PNMES</t>
  </si>
  <si>
    <t>Reportes One Click y Benchmarking</t>
  </si>
  <si>
    <t>Consultorias sanitarias</t>
  </si>
  <si>
    <t>Análisis de información</t>
  </si>
  <si>
    <t>Carta de entendimiento No. 4</t>
  </si>
  <si>
    <t>Seminario internacional de sanidad</t>
  </si>
  <si>
    <t>Jornadas académicas en producción primaria</t>
  </si>
  <si>
    <t>Producción de nuevas herramientas de transferencia</t>
  </si>
  <si>
    <t>Planes de Acción CAR´s</t>
  </si>
  <si>
    <t>Convenios CAR's</t>
  </si>
  <si>
    <t>Logística Barridos</t>
  </si>
  <si>
    <t>PRESUPUESTO EJECUTADO 2010</t>
  </si>
  <si>
    <t>EJECUCIÓN PRESUPUESTO DE INGRESOS VIGENCIA  2.010</t>
  </si>
  <si>
    <t>ACUERDO 5/10</t>
  </si>
  <si>
    <t>ACUERDO 8/10</t>
  </si>
  <si>
    <t>ACUERDO 11/10</t>
  </si>
  <si>
    <t xml:space="preserve">ACUERDO </t>
  </si>
  <si>
    <t>MODIFICADO</t>
  </si>
  <si>
    <t>JUL.-SEPT.</t>
  </si>
  <si>
    <t>OCT.-DIC.</t>
  </si>
  <si>
    <t xml:space="preserve">AJUSTE DE </t>
  </si>
  <si>
    <t>AÑO 2010</t>
  </si>
  <si>
    <t>EJECUCIÓN</t>
  </si>
  <si>
    <t>INGRESOS FONDO</t>
  </si>
  <si>
    <t xml:space="preserve">SUPERAVIT </t>
  </si>
  <si>
    <t>VLR A AJUSTAR</t>
  </si>
  <si>
    <t>GASTOS FONDO</t>
  </si>
  <si>
    <t>PROYECTADO</t>
  </si>
  <si>
    <t>SUPERAVIT</t>
  </si>
  <si>
    <t>INGRESOS PPC</t>
  </si>
  <si>
    <t>GASTOS PPC</t>
  </si>
  <si>
    <t>ACUERDO 2/11</t>
  </si>
  <si>
    <t>DEFINITIVA</t>
  </si>
  <si>
    <t>ACUERDO 3/11</t>
  </si>
  <si>
    <t>% EJEC. ANUAL</t>
  </si>
  <si>
    <t>CALCULO SUPERAVIT 2010</t>
  </si>
  <si>
    <t>EJECUCION 2010</t>
  </si>
  <si>
    <t>CALCULO SUPERAVIT PPC 2010</t>
  </si>
  <si>
    <t>TOTAL SUPERAVIT PRESUPUESTAL A DIC 31 DE 2010</t>
  </si>
  <si>
    <t>CALCULO SUPERAVIT FNP 2010</t>
  </si>
  <si>
    <t>EJECUCIÓN DE GASTOS DE FUNCIONAMIENTO E INVERSIÓN 2010</t>
  </si>
  <si>
    <t>DE ENERO A DICIEMBRE 31 DE 2010</t>
  </si>
  <si>
    <t>TOTAL EJECUTADO</t>
  </si>
  <si>
    <t xml:space="preserve">   Programa IAT 1</t>
  </si>
  <si>
    <t xml:space="preserve">       Contrapartida FNP - productores</t>
  </si>
  <si>
    <t xml:space="preserve">   Programa IAT 2</t>
  </si>
  <si>
    <t>Sistema de Gestión de Calidad</t>
  </si>
  <si>
    <t>Mesas de Trabajo</t>
  </si>
  <si>
    <t>Circulación Viral en Pecaries</t>
  </si>
  <si>
    <t>RESERVAS FUTUROS INV Y GASTOS</t>
  </si>
  <si>
    <t>CUOTA DE FOMENTO</t>
  </si>
  <si>
    <t>ERRADICACIÓN PESTE PORCINA CLÁSICA</t>
  </si>
  <si>
    <t>TOTAL GASTOS</t>
  </si>
  <si>
    <t>gasto fnp</t>
  </si>
  <si>
    <t>gasto ppc</t>
  </si>
  <si>
    <t xml:space="preserve">  Contratación de personal</t>
  </si>
  <si>
    <t xml:space="preserve"> Convenio MADR</t>
  </si>
  <si>
    <t xml:space="preserve"> FNP</t>
  </si>
  <si>
    <t xml:space="preserve">  Gastos de viaje</t>
  </si>
  <si>
    <t xml:space="preserve">  Gastos de interventoria Convenio MADR</t>
  </si>
  <si>
    <t xml:space="preserve">  Auxilios de comités de ganaderos y distribuidores</t>
  </si>
  <si>
    <t xml:space="preserve">  Logística Barridos</t>
  </si>
  <si>
    <t xml:space="preserve">  Recolección de desechos biológicos</t>
  </si>
  <si>
    <t xml:space="preserve">  Compra de biológico, chapetas y tenazas</t>
  </si>
  <si>
    <t xml:space="preserve">  Compra de materiales y dotaciones</t>
  </si>
  <si>
    <t xml:space="preserve">  Pago de auxilios de frío, flete y movilizaciones</t>
  </si>
  <si>
    <t xml:space="preserve">  Brigadas</t>
  </si>
  <si>
    <t xml:space="preserve">  Talleres de formación PPC</t>
  </si>
  <si>
    <t xml:space="preserve">  Asesoría internacional</t>
  </si>
  <si>
    <t xml:space="preserve">  Publicidad</t>
  </si>
  <si>
    <t xml:space="preserve">  Capacitación</t>
  </si>
  <si>
    <t xml:space="preserve">  Divulgación</t>
  </si>
  <si>
    <t xml:space="preserve">  Seminario internacional de sanidad</t>
  </si>
  <si>
    <t xml:space="preserve">  Jornadas académicas en producción primaria</t>
  </si>
  <si>
    <t xml:space="preserve">  Producción de nuevas herramientas de transferencia</t>
  </si>
  <si>
    <t xml:space="preserve">  Premio Nacional de Productividad </t>
  </si>
  <si>
    <t xml:space="preserve">  Planes de Acción CAR´s</t>
  </si>
  <si>
    <t xml:space="preserve">  Convenios CAR's</t>
  </si>
  <si>
    <t xml:space="preserve">  Servicios de diagnóstico</t>
  </si>
  <si>
    <t xml:space="preserve"> Carta de entendimiento No. 2 ICA</t>
  </si>
  <si>
    <t xml:space="preserve"> Laboratorios Privados </t>
  </si>
  <si>
    <t xml:space="preserve"> Carta de entendimiento No.3</t>
  </si>
  <si>
    <t xml:space="preserve">  Programa nacional de mejoramiento del estatus sanitario</t>
  </si>
  <si>
    <t xml:space="preserve"> Evaluación periódica de bioseguridad y sanidad</t>
  </si>
  <si>
    <t xml:space="preserve"> Diagnóstico de laboratorio PNMES</t>
  </si>
  <si>
    <t xml:space="preserve"> Reportes One Click y Benchmarking</t>
  </si>
  <si>
    <t xml:space="preserve"> Consultorias sanitarias</t>
  </si>
  <si>
    <t xml:space="preserve"> Análisis de información</t>
  </si>
  <si>
    <t xml:space="preserve">  Fortalecimiento de la capacidad diagnóstica</t>
  </si>
  <si>
    <t xml:space="preserve"> Carta de entendimiento No. 4</t>
  </si>
  <si>
    <t xml:space="preserve">     Contrapartida MADR</t>
  </si>
  <si>
    <t xml:space="preserve">     Contrapartida FNP - productores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</si>
</sst>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 _$_-;\-* #,##0\ _$_-;_-* &quot;-&quot;\ _$_-;_-@_-"/>
    <numFmt numFmtId="193" formatCode="_-* #,##0.00\ _€_-;\-* #,##0.00\ _€_-;_-* &quot;-&quot;??\ _€_-;_-@_-"/>
    <numFmt numFmtId="194" formatCode="_ * #,##0_ ;_ * \-#,##0_ ;_ * &quot;-&quot;??_ ;_ @_ "/>
    <numFmt numFmtId="195" formatCode="0.0%"/>
    <numFmt numFmtId="196" formatCode="_(* #,##0_);_(* \(#,##0\);_(* &quot;-&quot;??_);_(@_)"/>
    <numFmt numFmtId="197" formatCode="_(* #,##0.000_);_(* \(#,##0.000\);_(* &quot;-&quot;??_);_(@_)"/>
    <numFmt numFmtId="198" formatCode="#,##0;[Red]#,##0"/>
    <numFmt numFmtId="199" formatCode="0.000%"/>
    <numFmt numFmtId="200" formatCode="_-* #,##0\ _€_-;\-* #,##0\ _€_-;_-* &quot;-&quot;??\ _€_-;_-@_-"/>
    <numFmt numFmtId="201" formatCode="_ &quot;$&quot;\ * #,##0_ ;_ &quot;$&quot;\ * \-#,##0_ ;_ &quot;$&quot;\ * &quot;-&quot;??_ ;_ @_ "/>
    <numFmt numFmtId="202" formatCode="_ * #,##0.0_ ;_ * \-#,##0.0_ ;_ * &quot;-&quot;??_ ;_ @_ "/>
  </numFmts>
  <fonts count="76">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Comic Sans MS"/>
      <family val="4"/>
    </font>
    <font>
      <b/>
      <sz val="11"/>
      <name val="Arial"/>
      <family val="2"/>
    </font>
    <font>
      <sz val="11"/>
      <color indexed="8"/>
      <name val="Arial"/>
      <family val="2"/>
    </font>
    <font>
      <sz val="12"/>
      <name val="Times New Roman"/>
      <family val="1"/>
    </font>
    <font>
      <b/>
      <sz val="12"/>
      <name val="Times New Roman"/>
      <family val="1"/>
    </font>
    <font>
      <b/>
      <sz val="11"/>
      <color indexed="10"/>
      <name val="Arial"/>
      <family val="2"/>
    </font>
    <font>
      <sz val="11"/>
      <color indexed="8"/>
      <name val="Calibri"/>
      <family val="2"/>
    </font>
    <font>
      <sz val="10"/>
      <color indexed="9"/>
      <name val="Comic Sans MS"/>
      <family val="4"/>
    </font>
    <font>
      <b/>
      <sz val="10"/>
      <name val="Comic Sans MS"/>
      <family val="4"/>
    </font>
    <font>
      <sz val="11"/>
      <name val="Comic Sans MS"/>
      <family val="4"/>
    </font>
    <font>
      <sz val="11"/>
      <color indexed="10"/>
      <name val="Arial"/>
      <family val="2"/>
    </font>
    <font>
      <sz val="11"/>
      <color indexed="9"/>
      <name val="Arial"/>
      <family val="2"/>
    </font>
    <font>
      <b/>
      <sz val="11"/>
      <color indexed="9"/>
      <name val="Arial"/>
      <family val="2"/>
    </font>
    <font>
      <sz val="10"/>
      <color indexed="10"/>
      <name val="Comic Sans MS"/>
      <family val="4"/>
    </font>
    <font>
      <sz val="10"/>
      <color indexed="9"/>
      <name val="Arial"/>
      <family val="2"/>
    </font>
    <font>
      <b/>
      <sz val="12"/>
      <name val="Comic Sans MS"/>
      <family val="4"/>
    </font>
    <font>
      <sz val="12"/>
      <name val="Comic Sans MS"/>
      <family val="4"/>
    </font>
    <font>
      <b/>
      <sz val="8"/>
      <name val="Tahoma"/>
      <family val="2"/>
    </font>
    <font>
      <sz val="10"/>
      <name val="Tahoma"/>
      <family val="2"/>
    </font>
    <font>
      <b/>
      <sz val="12"/>
      <name val="Arial"/>
      <family val="2"/>
    </font>
    <font>
      <b/>
      <sz val="11"/>
      <color indexed="8"/>
      <name val="Arial"/>
      <family val="2"/>
    </font>
    <font>
      <sz val="11"/>
      <name val="Tahoma"/>
      <family val="2"/>
    </font>
    <font>
      <sz val="9"/>
      <color indexed="14"/>
      <name val="Times New Roman"/>
      <family val="1"/>
    </font>
    <font>
      <sz val="10"/>
      <color indexed="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color indexed="63"/>
      </right>
      <top>
        <color indexed="63"/>
      </top>
      <bottom style="double"/>
    </border>
    <border>
      <left style="double"/>
      <right style="hair"/>
      <top style="hair"/>
      <bottom style="hair"/>
    </border>
    <border>
      <left style="double"/>
      <right style="hair"/>
      <top style="hair"/>
      <bottom style="double"/>
    </border>
    <border>
      <left style="hair"/>
      <right style="hair"/>
      <top style="hair"/>
      <bottom style="double"/>
    </border>
    <border>
      <left style="hair"/>
      <right style="hair"/>
      <top style="hair"/>
      <bottom style="hair"/>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hair"/>
    </border>
    <border>
      <left style="hair"/>
      <right style="double"/>
      <top style="hair"/>
      <bottom style="hair"/>
    </border>
    <border>
      <left style="medium"/>
      <right style="thin"/>
      <top style="medium"/>
      <bottom>
        <color indexed="63"/>
      </bottom>
    </border>
    <border>
      <left>
        <color indexed="63"/>
      </left>
      <right style="medium"/>
      <top style="thin">
        <color indexed="55"/>
      </top>
      <bottom style="thin">
        <color indexed="55"/>
      </bottom>
    </border>
    <border>
      <left>
        <color indexed="63"/>
      </left>
      <right style="medium"/>
      <top>
        <color indexed="63"/>
      </top>
      <bottom style="thin">
        <color indexed="55"/>
      </bottom>
    </border>
    <border>
      <left style="medium"/>
      <right style="medium"/>
      <top style="thin">
        <color indexed="55"/>
      </top>
      <bottom style="thin">
        <color indexed="55"/>
      </bottom>
    </border>
    <border>
      <left style="medium"/>
      <right style="medium"/>
      <top style="thin">
        <color indexed="55"/>
      </top>
      <bottom>
        <color indexed="63"/>
      </bottom>
    </border>
    <border>
      <left>
        <color indexed="63"/>
      </left>
      <right style="medium"/>
      <top style="thin">
        <color indexed="55"/>
      </top>
      <bottom>
        <color indexed="63"/>
      </bottom>
    </border>
    <border>
      <left style="thin"/>
      <right style="thin"/>
      <top style="hair"/>
      <bottom style="hair"/>
    </border>
    <border>
      <left style="double"/>
      <right style="hair"/>
      <top style="double"/>
      <bottom style="hair"/>
    </border>
    <border>
      <left style="hair"/>
      <right style="hair"/>
      <top style="double"/>
      <bottom style="hair"/>
    </border>
    <border>
      <left style="hair"/>
      <right>
        <color indexed="63"/>
      </right>
      <top style="double"/>
      <bottom style="hair"/>
    </border>
    <border>
      <left style="hair"/>
      <right>
        <color indexed="63"/>
      </right>
      <top style="hair"/>
      <bottom style="hair"/>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medium"/>
      <top>
        <color indexed="63"/>
      </top>
      <bottom style="thin">
        <color indexed="55"/>
      </bottom>
    </border>
    <border>
      <left style="medium"/>
      <right style="hair"/>
      <top>
        <color indexed="63"/>
      </top>
      <bottom style="hair"/>
    </border>
    <border>
      <left style="thin"/>
      <right style="thin"/>
      <top style="medium"/>
      <bottom style="hair"/>
    </border>
    <border>
      <left style="medium"/>
      <right style="hair"/>
      <top style="hair"/>
      <bottom style="hair"/>
    </border>
    <border>
      <left style="medium"/>
      <right>
        <color indexed="63"/>
      </right>
      <top style="hair"/>
      <bottom style="hair"/>
    </border>
    <border>
      <left style="medium"/>
      <right style="hair"/>
      <top style="hair"/>
      <bottom style="medium"/>
    </border>
    <border>
      <left style="thin"/>
      <right style="thin"/>
      <top style="hair"/>
      <bottom style="medium"/>
    </border>
    <border>
      <left style="hair"/>
      <right style="double"/>
      <top style="double"/>
      <bottom style="hair"/>
    </border>
    <border>
      <left style="hair"/>
      <right style="hair"/>
      <top>
        <color indexed="63"/>
      </top>
      <bottom style="hair"/>
    </border>
    <border>
      <left style="hair"/>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25" fillId="10"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7"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8" fillId="29"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6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20"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739">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95" fontId="6" fillId="0" borderId="10" xfId="67"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94"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94"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96" fontId="13" fillId="0" borderId="0" xfId="59" applyNumberFormat="1" applyFont="1" applyAlignment="1">
      <alignment/>
    </xf>
    <xf numFmtId="15" fontId="13" fillId="0" borderId="0" xfId="59" applyNumberFormat="1" applyFont="1" applyAlignment="1">
      <alignment/>
    </xf>
    <xf numFmtId="196" fontId="12" fillId="0" borderId="0" xfId="59" applyNumberFormat="1" applyFont="1" applyAlignment="1">
      <alignment/>
    </xf>
    <xf numFmtId="177" fontId="13" fillId="0" borderId="0" xfId="59" applyFont="1" applyAlignment="1">
      <alignment/>
    </xf>
    <xf numFmtId="177" fontId="13" fillId="0" borderId="0" xfId="0" applyNumberFormat="1" applyFont="1" applyAlignment="1">
      <alignment/>
    </xf>
    <xf numFmtId="197" fontId="13" fillId="0" borderId="0" xfId="0" applyNumberFormat="1" applyFont="1" applyAlignment="1">
      <alignment/>
    </xf>
    <xf numFmtId="196"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96" fontId="6" fillId="32" borderId="26" xfId="0" applyNumberFormat="1" applyFont="1" applyFill="1" applyBorder="1" applyAlignment="1">
      <alignment/>
    </xf>
    <xf numFmtId="196" fontId="6" fillId="32" borderId="27" xfId="0" applyNumberFormat="1" applyFont="1" applyFill="1" applyBorder="1" applyAlignment="1">
      <alignment horizontal="center"/>
    </xf>
    <xf numFmtId="196" fontId="6" fillId="32" borderId="25" xfId="0" applyNumberFormat="1" applyFont="1" applyFill="1" applyBorder="1" applyAlignment="1">
      <alignment horizontal="center"/>
    </xf>
    <xf numFmtId="196" fontId="6" fillId="32" borderId="19" xfId="0" applyNumberFormat="1" applyFont="1" applyFill="1" applyBorder="1" applyAlignment="1">
      <alignment/>
    </xf>
    <xf numFmtId="196" fontId="12" fillId="0" borderId="0" xfId="0" applyNumberFormat="1" applyFont="1" applyAlignment="1">
      <alignment/>
    </xf>
    <xf numFmtId="196" fontId="6" fillId="0" borderId="28" xfId="0" applyNumberFormat="1" applyFont="1" applyBorder="1" applyAlignment="1">
      <alignment/>
    </xf>
    <xf numFmtId="196" fontId="6" fillId="0" borderId="28" xfId="59" applyNumberFormat="1" applyFont="1" applyBorder="1" applyAlignment="1">
      <alignment/>
    </xf>
    <xf numFmtId="196" fontId="6" fillId="0" borderId="29" xfId="0" applyNumberFormat="1" applyFont="1" applyBorder="1" applyAlignment="1">
      <alignment/>
    </xf>
    <xf numFmtId="196" fontId="6" fillId="0" borderId="19" xfId="59" applyNumberFormat="1" applyFont="1" applyBorder="1" applyAlignment="1">
      <alignment/>
    </xf>
    <xf numFmtId="196" fontId="6" fillId="0" borderId="20" xfId="59" applyNumberFormat="1" applyFont="1" applyBorder="1" applyAlignment="1">
      <alignment/>
    </xf>
    <xf numFmtId="0" fontId="13" fillId="0" borderId="0" xfId="0" applyFont="1" applyAlignment="1">
      <alignment/>
    </xf>
    <xf numFmtId="196" fontId="5" fillId="32" borderId="25" xfId="59" applyNumberFormat="1" applyFont="1" applyFill="1" applyBorder="1" applyAlignment="1">
      <alignment horizontal="center"/>
    </xf>
    <xf numFmtId="196" fontId="6" fillId="32" borderId="27" xfId="59" applyNumberFormat="1" applyFont="1" applyFill="1" applyBorder="1" applyAlignment="1">
      <alignment horizontal="center"/>
    </xf>
    <xf numFmtId="196" fontId="6" fillId="32" borderId="25" xfId="59" applyNumberFormat="1" applyFont="1" applyFill="1" applyBorder="1" applyAlignment="1">
      <alignment horizontal="center"/>
    </xf>
    <xf numFmtId="196" fontId="6" fillId="0" borderId="26" xfId="59" applyNumberFormat="1" applyFont="1" applyBorder="1" applyAlignment="1">
      <alignment/>
    </xf>
    <xf numFmtId="196" fontId="6" fillId="0" borderId="26" xfId="0" applyNumberFormat="1" applyFont="1" applyBorder="1" applyAlignment="1">
      <alignment/>
    </xf>
    <xf numFmtId="196" fontId="6" fillId="0" borderId="25" xfId="0" applyNumberFormat="1" applyFont="1" applyBorder="1" applyAlignment="1">
      <alignment/>
    </xf>
    <xf numFmtId="196" fontId="6" fillId="0" borderId="19" xfId="0" applyNumberFormat="1" applyFont="1" applyBorder="1" applyAlignment="1">
      <alignment/>
    </xf>
    <xf numFmtId="196" fontId="6" fillId="0" borderId="30" xfId="0" applyNumberFormat="1" applyFont="1" applyBorder="1" applyAlignment="1">
      <alignment/>
    </xf>
    <xf numFmtId="196" fontId="6" fillId="0" borderId="20" xfId="0" applyNumberFormat="1" applyFont="1" applyBorder="1" applyAlignment="1">
      <alignment/>
    </xf>
    <xf numFmtId="196" fontId="6" fillId="0" borderId="23" xfId="0" applyNumberFormat="1" applyFont="1" applyBorder="1" applyAlignment="1">
      <alignment/>
    </xf>
    <xf numFmtId="196" fontId="5" fillId="32" borderId="31" xfId="59" applyNumberFormat="1" applyFont="1" applyFill="1" applyBorder="1" applyAlignment="1">
      <alignment horizontal="left"/>
    </xf>
    <xf numFmtId="196" fontId="5" fillId="32" borderId="32" xfId="59" applyNumberFormat="1" applyFont="1" applyFill="1" applyBorder="1" applyAlignment="1">
      <alignment/>
    </xf>
    <xf numFmtId="196" fontId="5" fillId="32" borderId="26" xfId="0" applyNumberFormat="1" applyFont="1" applyFill="1" applyBorder="1" applyAlignment="1">
      <alignment/>
    </xf>
    <xf numFmtId="196" fontId="5" fillId="32" borderId="25" xfId="0" applyNumberFormat="1" applyFont="1" applyFill="1" applyBorder="1" applyAlignment="1">
      <alignment/>
    </xf>
    <xf numFmtId="196" fontId="13" fillId="0" borderId="0" xfId="59" applyNumberFormat="1" applyFont="1" applyAlignment="1">
      <alignment/>
    </xf>
    <xf numFmtId="196" fontId="13" fillId="0" borderId="0" xfId="0" applyNumberFormat="1" applyFont="1" applyAlignment="1">
      <alignment/>
    </xf>
    <xf numFmtId="0" fontId="5" fillId="0" borderId="19" xfId="0" applyFont="1" applyBorder="1" applyAlignment="1">
      <alignment/>
    </xf>
    <xf numFmtId="196"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7" fontId="6" fillId="0" borderId="0" xfId="59"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7" fontId="5" fillId="0" borderId="22" xfId="59"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96" fontId="6" fillId="0" borderId="0" xfId="0" applyNumberFormat="1" applyFont="1" applyAlignment="1">
      <alignment/>
    </xf>
    <xf numFmtId="196" fontId="6" fillId="0" borderId="41" xfId="59" applyNumberFormat="1" applyFont="1" applyBorder="1" applyAlignment="1">
      <alignment horizontal="left"/>
    </xf>
    <xf numFmtId="196" fontId="6" fillId="0" borderId="42" xfId="59" applyNumberFormat="1" applyFont="1" applyBorder="1" applyAlignment="1">
      <alignment/>
    </xf>
    <xf numFmtId="9" fontId="6" fillId="0" borderId="43" xfId="59" applyNumberFormat="1" applyFont="1" applyBorder="1" applyAlignment="1">
      <alignment/>
    </xf>
    <xf numFmtId="15" fontId="5" fillId="0" borderId="10" xfId="59" applyNumberFormat="1" applyFont="1" applyBorder="1" applyAlignment="1">
      <alignment/>
    </xf>
    <xf numFmtId="196" fontId="6" fillId="0" borderId="10" xfId="59" applyNumberFormat="1" applyFont="1" applyBorder="1" applyAlignment="1">
      <alignment/>
    </xf>
    <xf numFmtId="196" fontId="6" fillId="0" borderId="41" xfId="0" applyNumberFormat="1" applyFont="1" applyBorder="1" applyAlignment="1">
      <alignment/>
    </xf>
    <xf numFmtId="196" fontId="6" fillId="0" borderId="43" xfId="0" applyNumberFormat="1" applyFont="1" applyBorder="1" applyAlignment="1">
      <alignment/>
    </xf>
    <xf numFmtId="196" fontId="6" fillId="0" borderId="10" xfId="0" applyNumberFormat="1" applyFont="1" applyBorder="1" applyAlignment="1">
      <alignment/>
    </xf>
    <xf numFmtId="196" fontId="6" fillId="0" borderId="44" xfId="0" applyNumberFormat="1" applyFont="1" applyBorder="1" applyAlignment="1">
      <alignment/>
    </xf>
    <xf numFmtId="196" fontId="5" fillId="0" borderId="45" xfId="59" applyNumberFormat="1" applyFont="1" applyBorder="1" applyAlignment="1">
      <alignment horizontal="left"/>
    </xf>
    <xf numFmtId="196" fontId="5" fillId="0" borderId="46" xfId="59" applyNumberFormat="1" applyFont="1" applyBorder="1" applyAlignment="1">
      <alignment/>
    </xf>
    <xf numFmtId="9" fontId="5" fillId="0" borderId="47" xfId="59" applyNumberFormat="1" applyFont="1" applyBorder="1" applyAlignment="1">
      <alignment/>
    </xf>
    <xf numFmtId="15" fontId="6" fillId="0" borderId="48" xfId="59" applyNumberFormat="1" applyFont="1" applyBorder="1" applyAlignment="1">
      <alignment/>
    </xf>
    <xf numFmtId="196" fontId="5" fillId="0" borderId="48" xfId="59" applyNumberFormat="1" applyFont="1" applyBorder="1" applyAlignment="1">
      <alignment/>
    </xf>
    <xf numFmtId="196" fontId="5" fillId="0" borderId="49" xfId="59" applyNumberFormat="1" applyFont="1" applyBorder="1" applyAlignment="1">
      <alignment/>
    </xf>
    <xf numFmtId="196" fontId="5" fillId="0" borderId="20" xfId="59" applyNumberFormat="1" applyFont="1" applyBorder="1" applyAlignment="1">
      <alignment/>
    </xf>
    <xf numFmtId="196" fontId="5" fillId="0" borderId="20" xfId="0" applyNumberFormat="1" applyFont="1" applyBorder="1" applyAlignment="1">
      <alignment/>
    </xf>
    <xf numFmtId="196" fontId="5" fillId="0" borderId="0" xfId="0" applyNumberFormat="1" applyFont="1" applyAlignment="1">
      <alignment/>
    </xf>
    <xf numFmtId="196" fontId="5" fillId="0" borderId="28" xfId="59" applyNumberFormat="1" applyFont="1" applyBorder="1" applyAlignment="1">
      <alignment horizontal="left"/>
    </xf>
    <xf numFmtId="196" fontId="6" fillId="0" borderId="50" xfId="59" applyNumberFormat="1" applyFont="1" applyBorder="1" applyAlignment="1">
      <alignment/>
    </xf>
    <xf numFmtId="9" fontId="6" fillId="0" borderId="51" xfId="59" applyNumberFormat="1" applyFont="1" applyBorder="1" applyAlignment="1">
      <alignment/>
    </xf>
    <xf numFmtId="15" fontId="6" fillId="0" borderId="17" xfId="59" applyNumberFormat="1" applyFont="1" applyBorder="1" applyAlignment="1">
      <alignment/>
    </xf>
    <xf numFmtId="196" fontId="6" fillId="0" borderId="17" xfId="59" applyNumberFormat="1" applyFont="1" applyBorder="1" applyAlignment="1">
      <alignment/>
    </xf>
    <xf numFmtId="196" fontId="6" fillId="0" borderId="52" xfId="59" applyNumberFormat="1" applyFont="1" applyBorder="1" applyAlignment="1">
      <alignment/>
    </xf>
    <xf numFmtId="196" fontId="6" fillId="0" borderId="44" xfId="59" applyNumberFormat="1" applyFont="1" applyBorder="1" applyAlignment="1">
      <alignment/>
    </xf>
    <xf numFmtId="196" fontId="5" fillId="0" borderId="53" xfId="59" applyNumberFormat="1" applyFont="1" applyBorder="1" applyAlignment="1">
      <alignment horizontal="left"/>
    </xf>
    <xf numFmtId="196" fontId="5" fillId="0" borderId="54" xfId="59" applyNumberFormat="1" applyFont="1" applyBorder="1" applyAlignment="1">
      <alignment/>
    </xf>
    <xf numFmtId="9" fontId="5" fillId="0" borderId="55" xfId="59" applyNumberFormat="1" applyFont="1" applyBorder="1" applyAlignment="1">
      <alignment/>
    </xf>
    <xf numFmtId="15" fontId="6" fillId="0" borderId="56" xfId="59" applyNumberFormat="1" applyFont="1" applyBorder="1" applyAlignment="1">
      <alignment/>
    </xf>
    <xf numFmtId="196" fontId="5" fillId="0" borderId="56" xfId="59" applyNumberFormat="1" applyFont="1" applyBorder="1" applyAlignment="1">
      <alignment/>
    </xf>
    <xf numFmtId="196" fontId="5" fillId="0" borderId="57" xfId="59" applyNumberFormat="1" applyFont="1" applyBorder="1" applyAlignment="1">
      <alignment/>
    </xf>
    <xf numFmtId="196" fontId="5" fillId="0" borderId="23" xfId="59" applyNumberFormat="1" applyFont="1" applyBorder="1" applyAlignment="1">
      <alignment/>
    </xf>
    <xf numFmtId="196" fontId="5" fillId="0" borderId="0" xfId="0" applyNumberFormat="1" applyFont="1" applyBorder="1" applyAlignment="1">
      <alignment/>
    </xf>
    <xf numFmtId="196" fontId="5" fillId="0" borderId="58" xfId="59" applyNumberFormat="1" applyFont="1" applyBorder="1" applyAlignment="1">
      <alignment horizontal="left"/>
    </xf>
    <xf numFmtId="196" fontId="6" fillId="0" borderId="59" xfId="59" applyNumberFormat="1" applyFont="1" applyBorder="1" applyAlignment="1">
      <alignment/>
    </xf>
    <xf numFmtId="9" fontId="6" fillId="0" borderId="60" xfId="59" applyNumberFormat="1" applyFont="1" applyBorder="1" applyAlignment="1">
      <alignment/>
    </xf>
    <xf numFmtId="15" fontId="6" fillId="0" borderId="61" xfId="59" applyNumberFormat="1" applyFont="1" applyBorder="1" applyAlignment="1">
      <alignment/>
    </xf>
    <xf numFmtId="196" fontId="6" fillId="0" borderId="61" xfId="59" applyNumberFormat="1" applyFont="1" applyBorder="1" applyAlignment="1">
      <alignment/>
    </xf>
    <xf numFmtId="196" fontId="6" fillId="0" borderId="62" xfId="59" applyNumberFormat="1" applyFont="1" applyBorder="1" applyAlignment="1">
      <alignment/>
    </xf>
    <xf numFmtId="15" fontId="6" fillId="0" borderId="10" xfId="59" applyNumberFormat="1" applyFont="1" applyBorder="1" applyAlignment="1">
      <alignment/>
    </xf>
    <xf numFmtId="196" fontId="6" fillId="0" borderId="53" xfId="59" applyNumberFormat="1" applyFont="1" applyBorder="1" applyAlignment="1">
      <alignment horizontal="left"/>
    </xf>
    <xf numFmtId="196" fontId="6" fillId="0" borderId="54" xfId="59" applyNumberFormat="1" applyFont="1" applyBorder="1" applyAlignment="1">
      <alignment/>
    </xf>
    <xf numFmtId="9" fontId="6" fillId="0" borderId="55" xfId="59" applyNumberFormat="1" applyFont="1" applyBorder="1" applyAlignment="1">
      <alignment/>
    </xf>
    <xf numFmtId="15" fontId="5" fillId="0" borderId="56" xfId="59" applyNumberFormat="1" applyFont="1" applyBorder="1" applyAlignment="1">
      <alignment/>
    </xf>
    <xf numFmtId="196" fontId="6" fillId="0" borderId="56" xfId="59" applyNumberFormat="1" applyFont="1" applyBorder="1" applyAlignment="1">
      <alignment/>
    </xf>
    <xf numFmtId="196" fontId="6" fillId="0" borderId="57" xfId="59" applyNumberFormat="1" applyFont="1" applyBorder="1" applyAlignment="1">
      <alignment/>
    </xf>
    <xf numFmtId="196" fontId="6" fillId="0" borderId="45" xfId="59" applyNumberFormat="1" applyFont="1" applyBorder="1" applyAlignment="1">
      <alignment horizontal="left"/>
    </xf>
    <xf numFmtId="196" fontId="6" fillId="0" borderId="46" xfId="59" applyNumberFormat="1" applyFont="1" applyBorder="1" applyAlignment="1">
      <alignment/>
    </xf>
    <xf numFmtId="9" fontId="6" fillId="0" borderId="47" xfId="59" applyNumberFormat="1" applyFont="1" applyBorder="1" applyAlignment="1">
      <alignment/>
    </xf>
    <xf numFmtId="15" fontId="5" fillId="0" borderId="48" xfId="59" applyNumberFormat="1" applyFont="1" applyBorder="1" applyAlignment="1">
      <alignment/>
    </xf>
    <xf numFmtId="196" fontId="6" fillId="0" borderId="48" xfId="59" applyNumberFormat="1" applyFont="1" applyBorder="1" applyAlignment="1">
      <alignment/>
    </xf>
    <xf numFmtId="196" fontId="6" fillId="0" borderId="49" xfId="59" applyNumberFormat="1" applyFont="1" applyBorder="1" applyAlignment="1">
      <alignment/>
    </xf>
    <xf numFmtId="196" fontId="6" fillId="0" borderId="45" xfId="0" applyNumberFormat="1" applyFont="1" applyBorder="1" applyAlignment="1">
      <alignment/>
    </xf>
    <xf numFmtId="196" fontId="5" fillId="0" borderId="20" xfId="59" applyNumberFormat="1" applyFont="1" applyBorder="1" applyAlignment="1">
      <alignment horizontal="left"/>
    </xf>
    <xf numFmtId="196" fontId="5" fillId="0" borderId="0" xfId="59" applyNumberFormat="1" applyFont="1" applyBorder="1" applyAlignment="1">
      <alignment/>
    </xf>
    <xf numFmtId="196" fontId="5" fillId="0" borderId="39" xfId="59" applyNumberFormat="1" applyFont="1" applyBorder="1" applyAlignment="1">
      <alignment/>
    </xf>
    <xf numFmtId="15" fontId="6" fillId="0" borderId="40" xfId="59" applyNumberFormat="1" applyFont="1" applyBorder="1" applyAlignment="1">
      <alignment/>
    </xf>
    <xf numFmtId="196" fontId="5" fillId="0" borderId="40" xfId="59" applyNumberFormat="1" applyFont="1" applyBorder="1" applyAlignment="1">
      <alignment/>
    </xf>
    <xf numFmtId="196" fontId="5" fillId="0" borderId="63" xfId="59" applyNumberFormat="1" applyFont="1" applyBorder="1" applyAlignment="1">
      <alignment/>
    </xf>
    <xf numFmtId="196" fontId="5" fillId="0" borderId="26" xfId="59" applyNumberFormat="1" applyFont="1" applyBorder="1" applyAlignment="1">
      <alignment/>
    </xf>
    <xf numFmtId="196" fontId="5" fillId="0" borderId="32" xfId="59" applyNumberFormat="1" applyFont="1" applyBorder="1" applyAlignment="1">
      <alignment/>
    </xf>
    <xf numFmtId="0" fontId="5" fillId="0" borderId="24" xfId="0" applyFont="1" applyBorder="1" applyAlignment="1">
      <alignment/>
    </xf>
    <xf numFmtId="196" fontId="5" fillId="0" borderId="25" xfId="59" applyNumberFormat="1" applyFont="1" applyBorder="1" applyAlignment="1">
      <alignment/>
    </xf>
    <xf numFmtId="196" fontId="5" fillId="0" borderId="27" xfId="59" applyNumberFormat="1" applyFont="1" applyBorder="1" applyAlignment="1">
      <alignment/>
    </xf>
    <xf numFmtId="15" fontId="5" fillId="0" borderId="27" xfId="59" applyNumberFormat="1" applyFont="1" applyBorder="1" applyAlignment="1">
      <alignment/>
    </xf>
    <xf numFmtId="196" fontId="5" fillId="0" borderId="64" xfId="59" applyNumberFormat="1" applyFont="1" applyBorder="1" applyAlignment="1">
      <alignment/>
    </xf>
    <xf numFmtId="196"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96" fontId="6" fillId="0" borderId="23" xfId="59" applyNumberFormat="1" applyFont="1" applyFill="1" applyBorder="1" applyAlignment="1">
      <alignment horizontal="left"/>
    </xf>
    <xf numFmtId="196" fontId="6" fillId="0" borderId="24" xfId="59"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96" fontId="6" fillId="0" borderId="66" xfId="59" applyNumberFormat="1" applyFont="1" applyFill="1" applyBorder="1" applyAlignment="1">
      <alignment/>
    </xf>
    <xf numFmtId="196" fontId="6" fillId="0" borderId="36" xfId="59" applyNumberFormat="1" applyFont="1" applyFill="1" applyBorder="1" applyAlignment="1">
      <alignment/>
    </xf>
    <xf numFmtId="196" fontId="6" fillId="0" borderId="38" xfId="59" applyNumberFormat="1" applyFont="1" applyFill="1" applyBorder="1" applyAlignment="1">
      <alignment/>
    </xf>
    <xf numFmtId="196" fontId="6" fillId="0" borderId="64" xfId="59" applyNumberFormat="1" applyFont="1" applyFill="1" applyBorder="1" applyAlignment="1">
      <alignment/>
    </xf>
    <xf numFmtId="196" fontId="6" fillId="0" borderId="0" xfId="59" applyNumberFormat="1" applyFont="1" applyFill="1" applyBorder="1" applyAlignment="1">
      <alignment/>
    </xf>
    <xf numFmtId="196" fontId="5" fillId="32" borderId="64" xfId="59" applyNumberFormat="1" applyFont="1" applyFill="1" applyBorder="1" applyAlignment="1">
      <alignment/>
    </xf>
    <xf numFmtId="3" fontId="6" fillId="0" borderId="66" xfId="0" applyNumberFormat="1" applyFont="1" applyFill="1" applyBorder="1" applyAlignment="1">
      <alignment horizontal="right"/>
    </xf>
    <xf numFmtId="3" fontId="6" fillId="0" borderId="66" xfId="59" applyNumberFormat="1" applyFont="1" applyFill="1" applyBorder="1" applyAlignment="1">
      <alignment horizontal="right"/>
    </xf>
    <xf numFmtId="3" fontId="6" fillId="0" borderId="66" xfId="50" applyNumberFormat="1" applyFont="1" applyFill="1" applyBorder="1" applyAlignment="1">
      <alignment horizontal="right"/>
    </xf>
    <xf numFmtId="196" fontId="6" fillId="32" borderId="27" xfId="0" applyNumberFormat="1" applyFont="1" applyFill="1" applyBorder="1" applyAlignment="1">
      <alignment/>
    </xf>
    <xf numFmtId="196" fontId="6" fillId="0" borderId="19" xfId="59" applyNumberFormat="1" applyFont="1" applyFill="1" applyBorder="1" applyAlignment="1">
      <alignment/>
    </xf>
    <xf numFmtId="196" fontId="6" fillId="0" borderId="20" xfId="59" applyNumberFormat="1" applyFont="1" applyFill="1" applyBorder="1" applyAlignment="1">
      <alignment/>
    </xf>
    <xf numFmtId="196" fontId="6" fillId="0" borderId="67" xfId="59"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96" fontId="6" fillId="0" borderId="70" xfId="59" applyNumberFormat="1" applyFont="1" applyFill="1" applyBorder="1" applyAlignment="1">
      <alignment horizontal="left"/>
    </xf>
    <xf numFmtId="196" fontId="6" fillId="0" borderId="69" xfId="59" applyNumberFormat="1" applyFont="1" applyFill="1" applyBorder="1" applyAlignment="1">
      <alignment horizontal="left"/>
    </xf>
    <xf numFmtId="196" fontId="6" fillId="0" borderId="68" xfId="59" applyNumberFormat="1" applyFont="1" applyFill="1" applyBorder="1" applyAlignment="1">
      <alignment horizontal="left"/>
    </xf>
    <xf numFmtId="196" fontId="6" fillId="0" borderId="71" xfId="59" applyNumberFormat="1" applyFont="1" applyFill="1" applyBorder="1" applyAlignment="1">
      <alignment horizontal="left"/>
    </xf>
    <xf numFmtId="196" fontId="6" fillId="0" borderId="25" xfId="59"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96" fontId="6" fillId="0" borderId="41" xfId="59" applyNumberFormat="1" applyFont="1" applyFill="1" applyBorder="1" applyAlignment="1">
      <alignment/>
    </xf>
    <xf numFmtId="196" fontId="6" fillId="0" borderId="72" xfId="59" applyNumberFormat="1" applyFont="1" applyFill="1" applyBorder="1" applyAlignment="1">
      <alignment/>
    </xf>
    <xf numFmtId="196" fontId="6" fillId="0" borderId="53" xfId="59" applyNumberFormat="1" applyFont="1" applyFill="1" applyBorder="1" applyAlignment="1">
      <alignment/>
    </xf>
    <xf numFmtId="196" fontId="6" fillId="0" borderId="58" xfId="59" applyNumberFormat="1" applyFont="1" applyFill="1" applyBorder="1" applyAlignment="1">
      <alignment/>
    </xf>
    <xf numFmtId="196" fontId="6" fillId="0" borderId="45" xfId="59" applyNumberFormat="1" applyFont="1" applyFill="1" applyBorder="1" applyAlignment="1">
      <alignment/>
    </xf>
    <xf numFmtId="196" fontId="6" fillId="0" borderId="26" xfId="59" applyNumberFormat="1" applyFont="1" applyFill="1" applyBorder="1" applyAlignment="1">
      <alignment/>
    </xf>
    <xf numFmtId="3" fontId="6" fillId="32" borderId="26" xfId="0" applyNumberFormat="1" applyFont="1" applyFill="1" applyBorder="1" applyAlignment="1">
      <alignment/>
    </xf>
    <xf numFmtId="196" fontId="6" fillId="32" borderId="64" xfId="0" applyNumberFormat="1" applyFont="1" applyFill="1" applyBorder="1" applyAlignment="1">
      <alignment/>
    </xf>
    <xf numFmtId="3" fontId="6" fillId="0" borderId="29" xfId="0" applyNumberFormat="1" applyFont="1" applyBorder="1" applyAlignment="1">
      <alignment/>
    </xf>
    <xf numFmtId="199" fontId="5" fillId="0" borderId="20" xfId="0" applyNumberFormat="1" applyFont="1" applyBorder="1" applyAlignment="1">
      <alignment horizontal="center"/>
    </xf>
    <xf numFmtId="196" fontId="6" fillId="0" borderId="30" xfId="59" applyNumberFormat="1" applyFont="1" applyBorder="1" applyAlignment="1">
      <alignment/>
    </xf>
    <xf numFmtId="196" fontId="6" fillId="0" borderId="29" xfId="59" applyNumberFormat="1" applyFont="1" applyBorder="1" applyAlignment="1">
      <alignment/>
    </xf>
    <xf numFmtId="196" fontId="6" fillId="0" borderId="23" xfId="59" applyNumberFormat="1" applyFont="1" applyBorder="1" applyAlignment="1">
      <alignment/>
    </xf>
    <xf numFmtId="196" fontId="12" fillId="0" borderId="0" xfId="59"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85"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94" fontId="6" fillId="0" borderId="10" xfId="50" applyNumberFormat="1" applyFont="1" applyFill="1" applyBorder="1" applyAlignment="1" applyProtection="1">
      <alignment/>
      <protection locked="0"/>
    </xf>
    <xf numFmtId="194"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95" fontId="18" fillId="0" borderId="77" xfId="67"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94" fontId="6" fillId="0" borderId="10" xfId="50" applyNumberFormat="1" applyFont="1" applyFill="1" applyBorder="1" applyAlignment="1" applyProtection="1">
      <alignment/>
      <protection/>
    </xf>
    <xf numFmtId="194"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94" fontId="6" fillId="0" borderId="10" xfId="50" applyNumberFormat="1" applyFont="1" applyFill="1" applyBorder="1" applyAlignment="1" applyProtection="1">
      <alignment horizontal="left"/>
      <protection/>
    </xf>
    <xf numFmtId="194"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85"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85"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95" fontId="6" fillId="0" borderId="10" xfId="67" applyNumberFormat="1" applyFont="1" applyFill="1" applyBorder="1" applyAlignment="1">
      <alignment/>
    </xf>
    <xf numFmtId="195" fontId="5" fillId="0" borderId="10" xfId="67"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95" fontId="7" fillId="0" borderId="83" xfId="67"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195" fontId="18" fillId="0" borderId="77" xfId="67"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95" fontId="7" fillId="0" borderId="77" xfId="67"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8" fillId="0" borderId="84" xfId="50" applyNumberFormat="1" applyFont="1" applyBorder="1" applyAlignment="1" applyProtection="1">
      <alignment/>
      <protection/>
    </xf>
    <xf numFmtId="3" fontId="18" fillId="0" borderId="84" xfId="0" applyNumberFormat="1" applyFont="1" applyFill="1" applyBorder="1" applyAlignment="1" applyProtection="1">
      <alignment/>
      <protection/>
    </xf>
    <xf numFmtId="195" fontId="18" fillId="0" borderId="77" xfId="67"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95" fontId="7" fillId="33" borderId="86" xfId="67"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50" applyNumberFormat="1" applyFont="1" applyBorder="1" applyAlignment="1" applyProtection="1">
      <alignment/>
      <protection/>
    </xf>
    <xf numFmtId="195" fontId="18" fillId="0" borderId="89" xfId="67"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95" fontId="7" fillId="33" borderId="32" xfId="67"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50" applyNumberFormat="1" applyFont="1" applyBorder="1" applyAlignment="1" applyProtection="1">
      <alignment/>
      <protection/>
    </xf>
    <xf numFmtId="195" fontId="18" fillId="0" borderId="93" xfId="67"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3"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ill="1" applyAlignment="1">
      <alignment/>
    </xf>
    <xf numFmtId="3" fontId="1" fillId="0" borderId="0" xfId="0" applyNumberFormat="1" applyFont="1" applyAlignment="1">
      <alignment/>
    </xf>
    <xf numFmtId="10" fontId="1" fillId="0" borderId="0" xfId="67" applyNumberFormat="1" applyFont="1" applyAlignment="1">
      <alignment/>
    </xf>
    <xf numFmtId="3" fontId="19" fillId="0" borderId="0" xfId="0" applyNumberFormat="1" applyFont="1" applyFill="1" applyBorder="1" applyAlignment="1">
      <alignment/>
    </xf>
    <xf numFmtId="0" fontId="20" fillId="0" borderId="97" xfId="0" applyFont="1" applyBorder="1" applyAlignment="1">
      <alignment horizontal="centerContinuous"/>
    </xf>
    <xf numFmtId="3" fontId="20" fillId="0" borderId="98" xfId="0" applyNumberFormat="1" applyFont="1" applyFill="1" applyBorder="1" applyAlignment="1">
      <alignment/>
    </xf>
    <xf numFmtId="0" fontId="4" fillId="0" borderId="99" xfId="0" applyFont="1" applyBorder="1" applyAlignment="1">
      <alignment/>
    </xf>
    <xf numFmtId="3" fontId="20" fillId="0" borderId="100" xfId="0" applyNumberFormat="1" applyFont="1" applyFill="1" applyBorder="1" applyAlignment="1">
      <alignment/>
    </xf>
    <xf numFmtId="0" fontId="4" fillId="0" borderId="100" xfId="0" applyFont="1" applyBorder="1" applyAlignment="1">
      <alignment/>
    </xf>
    <xf numFmtId="0" fontId="22" fillId="0" borderId="0" xfId="0" applyFont="1" applyAlignment="1">
      <alignment/>
    </xf>
    <xf numFmtId="0" fontId="23" fillId="0" borderId="0" xfId="0" applyFont="1" applyAlignment="1">
      <alignment horizontal="center"/>
    </xf>
    <xf numFmtId="3" fontId="23" fillId="0" borderId="0" xfId="0" applyNumberFormat="1" applyFont="1" applyAlignment="1">
      <alignment horizontal="center"/>
    </xf>
    <xf numFmtId="3" fontId="22" fillId="0" borderId="0" xfId="0" applyNumberFormat="1" applyFont="1" applyAlignment="1">
      <alignment/>
    </xf>
    <xf numFmtId="3" fontId="22" fillId="0" borderId="97" xfId="0" applyNumberFormat="1" applyFont="1" applyBorder="1" applyAlignment="1">
      <alignment/>
    </xf>
    <xf numFmtId="0" fontId="4" fillId="0" borderId="98" xfId="0" applyFont="1" applyFill="1" applyBorder="1" applyAlignment="1">
      <alignment/>
    </xf>
    <xf numFmtId="37" fontId="20" fillId="0" borderId="98" xfId="0" applyNumberFormat="1" applyFont="1" applyFill="1" applyBorder="1" applyAlignment="1">
      <alignment/>
    </xf>
    <xf numFmtId="0" fontId="4" fillId="0" borderId="98" xfId="0" applyFont="1" applyFill="1" applyBorder="1" applyAlignment="1">
      <alignment horizontal="left" indent="1"/>
    </xf>
    <xf numFmtId="0" fontId="20" fillId="0" borderId="98" xfId="0" applyFont="1" applyFill="1" applyBorder="1" applyAlignment="1">
      <alignment/>
    </xf>
    <xf numFmtId="3" fontId="23" fillId="0" borderId="0" xfId="0" applyNumberFormat="1" applyFont="1" applyAlignment="1">
      <alignment/>
    </xf>
    <xf numFmtId="200" fontId="23" fillId="0" borderId="0" xfId="0" applyNumberFormat="1" applyFont="1" applyAlignment="1">
      <alignment horizontal="right"/>
    </xf>
    <xf numFmtId="0" fontId="4" fillId="0" borderId="98" xfId="0" applyFont="1" applyFill="1" applyBorder="1" applyAlignment="1">
      <alignment horizontal="left" indent="1"/>
    </xf>
    <xf numFmtId="194" fontId="20" fillId="34" borderId="101" xfId="50" applyNumberFormat="1" applyFont="1" applyFill="1" applyBorder="1" applyAlignment="1">
      <alignment/>
    </xf>
    <xf numFmtId="194" fontId="4" fillId="34" borderId="101" xfId="50" applyNumberFormat="1" applyFont="1" applyFill="1" applyBorder="1" applyAlignment="1">
      <alignment/>
    </xf>
    <xf numFmtId="37" fontId="4" fillId="0" borderId="98" xfId="0" applyNumberFormat="1" applyFont="1" applyFill="1" applyBorder="1" applyAlignment="1">
      <alignment horizontal="left"/>
    </xf>
    <xf numFmtId="185" fontId="22" fillId="0" borderId="0" xfId="50" applyFont="1" applyFill="1" applyAlignment="1">
      <alignment/>
    </xf>
    <xf numFmtId="185" fontId="22" fillId="0" borderId="97" xfId="50" applyFont="1" applyFill="1" applyBorder="1" applyAlignment="1">
      <alignment/>
    </xf>
    <xf numFmtId="0" fontId="24" fillId="0" borderId="97" xfId="0" applyFont="1" applyBorder="1" applyAlignment="1">
      <alignment horizontal="centerContinuous"/>
    </xf>
    <xf numFmtId="3" fontId="4" fillId="0" borderId="100" xfId="0" applyNumberFormat="1" applyFont="1" applyBorder="1" applyAlignment="1">
      <alignment/>
    </xf>
    <xf numFmtId="0" fontId="4" fillId="0" borderId="100" xfId="0" applyFont="1" applyFill="1" applyBorder="1" applyAlignment="1">
      <alignment/>
    </xf>
    <xf numFmtId="0" fontId="4" fillId="0" borderId="0" xfId="0" applyFont="1" applyBorder="1" applyAlignment="1">
      <alignment/>
    </xf>
    <xf numFmtId="3" fontId="20" fillId="0" borderId="0" xfId="0" applyNumberFormat="1" applyFont="1" applyFill="1" applyBorder="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184" fontId="4" fillId="0" borderId="0" xfId="61" applyFont="1" applyBorder="1" applyAlignment="1">
      <alignment/>
    </xf>
    <xf numFmtId="176" fontId="20" fillId="0" borderId="0" xfId="0" applyNumberFormat="1" applyFont="1" applyBorder="1" applyAlignment="1">
      <alignment/>
    </xf>
    <xf numFmtId="0" fontId="20" fillId="0" borderId="0" xfId="0" applyFont="1" applyBorder="1" applyAlignment="1">
      <alignment/>
    </xf>
    <xf numFmtId="3" fontId="20" fillId="0" borderId="0" xfId="0" applyNumberFormat="1" applyFont="1" applyBorder="1" applyAlignment="1">
      <alignment/>
    </xf>
    <xf numFmtId="3" fontId="2" fillId="0" borderId="0" xfId="0" applyNumberFormat="1" applyFont="1" applyAlignment="1">
      <alignment/>
    </xf>
    <xf numFmtId="184" fontId="1" fillId="0" borderId="0" xfId="61" applyFont="1" applyAlignment="1">
      <alignment/>
    </xf>
    <xf numFmtId="193" fontId="4" fillId="0" borderId="0" xfId="0" applyNumberFormat="1" applyFont="1" applyBorder="1" applyAlignment="1">
      <alignment/>
    </xf>
    <xf numFmtId="0" fontId="1" fillId="0" borderId="0" xfId="0" applyFont="1" applyFill="1" applyBorder="1" applyAlignment="1">
      <alignment/>
    </xf>
    <xf numFmtId="0" fontId="2" fillId="0" borderId="0" xfId="0" applyFont="1" applyFill="1" applyBorder="1" applyAlignment="1">
      <alignment/>
    </xf>
    <xf numFmtId="3" fontId="0" fillId="0" borderId="0" xfId="0" applyNumberFormat="1" applyFill="1" applyAlignment="1">
      <alignment/>
    </xf>
    <xf numFmtId="0" fontId="1" fillId="0" borderId="0" xfId="0" applyFont="1" applyFill="1" applyAlignment="1">
      <alignment/>
    </xf>
    <xf numFmtId="3" fontId="1" fillId="0" borderId="0" xfId="0" applyNumberFormat="1" applyFont="1" applyFill="1" applyAlignment="1">
      <alignment/>
    </xf>
    <xf numFmtId="0" fontId="2" fillId="0" borderId="0" xfId="0" applyFont="1" applyFill="1" applyAlignment="1">
      <alignment/>
    </xf>
    <xf numFmtId="184" fontId="0" fillId="0" borderId="0" xfId="0" applyNumberFormat="1" applyFill="1" applyAlignment="1">
      <alignment/>
    </xf>
    <xf numFmtId="193" fontId="3" fillId="0" borderId="0" xfId="0" applyNumberFormat="1" applyFont="1" applyFill="1" applyAlignment="1">
      <alignment/>
    </xf>
    <xf numFmtId="3" fontId="3" fillId="0" borderId="0" xfId="0" applyNumberFormat="1" applyFont="1" applyFill="1" applyAlignment="1">
      <alignment/>
    </xf>
    <xf numFmtId="0" fontId="0" fillId="0" borderId="0" xfId="0" applyFont="1" applyFill="1" applyBorder="1" applyAlignment="1">
      <alignment/>
    </xf>
    <xf numFmtId="185" fontId="3" fillId="0" borderId="0" xfId="50" applyFont="1" applyFill="1" applyBorder="1" applyAlignment="1">
      <alignment/>
    </xf>
    <xf numFmtId="0" fontId="0" fillId="0" borderId="0" xfId="0" applyFill="1" applyBorder="1" applyAlignment="1">
      <alignment/>
    </xf>
    <xf numFmtId="176" fontId="0" fillId="0" borderId="0" xfId="0" applyNumberFormat="1" applyFill="1" applyBorder="1" applyAlignment="1">
      <alignment/>
    </xf>
    <xf numFmtId="3" fontId="0" fillId="0" borderId="0" xfId="0" applyNumberFormat="1" applyFill="1" applyBorder="1" applyAlignment="1">
      <alignment/>
    </xf>
    <xf numFmtId="3" fontId="20" fillId="34" borderId="98" xfId="0" applyNumberFormat="1" applyFont="1" applyFill="1" applyBorder="1" applyAlignment="1">
      <alignment/>
    </xf>
    <xf numFmtId="37" fontId="20" fillId="34" borderId="98" xfId="0" applyNumberFormat="1" applyFont="1" applyFill="1" applyBorder="1" applyAlignment="1">
      <alignment/>
    </xf>
    <xf numFmtId="37" fontId="4" fillId="34" borderId="98" xfId="0" applyNumberFormat="1" applyFont="1" applyFill="1" applyBorder="1" applyAlignment="1">
      <alignment horizontal="left"/>
    </xf>
    <xf numFmtId="37" fontId="20" fillId="34" borderId="98" xfId="0" applyNumberFormat="1" applyFont="1" applyFill="1" applyBorder="1" applyAlignment="1">
      <alignment horizontal="left"/>
    </xf>
    <xf numFmtId="37" fontId="4" fillId="34" borderId="98" xfId="0" applyNumberFormat="1" applyFont="1" applyFill="1" applyBorder="1" applyAlignment="1">
      <alignment horizontal="left"/>
    </xf>
    <xf numFmtId="0" fontId="4" fillId="34" borderId="98" xfId="0" applyFont="1" applyFill="1" applyBorder="1" applyAlignment="1">
      <alignment/>
    </xf>
    <xf numFmtId="0" fontId="4" fillId="34" borderId="98" xfId="0" applyFont="1" applyFill="1" applyBorder="1" applyAlignment="1">
      <alignment horizontal="left" indent="1"/>
    </xf>
    <xf numFmtId="0" fontId="4" fillId="34" borderId="98" xfId="0" applyFont="1" applyFill="1" applyBorder="1" applyAlignment="1">
      <alignment horizontal="left" indent="1"/>
    </xf>
    <xf numFmtId="0" fontId="20" fillId="34" borderId="98" xfId="0" applyFont="1" applyFill="1" applyBorder="1" applyAlignment="1">
      <alignment/>
    </xf>
    <xf numFmtId="37" fontId="20" fillId="34" borderId="98" xfId="0" applyNumberFormat="1" applyFont="1" applyFill="1" applyBorder="1" applyAlignment="1">
      <alignment horizontal="left" wrapText="1"/>
    </xf>
    <xf numFmtId="194" fontId="20" fillId="0" borderId="101" xfId="50" applyNumberFormat="1" applyFont="1" applyFill="1" applyBorder="1" applyAlignment="1">
      <alignment/>
    </xf>
    <xf numFmtId="194" fontId="20" fillId="0" borderId="101" xfId="50" applyNumberFormat="1" applyFont="1" applyFill="1" applyBorder="1" applyAlignment="1">
      <alignment/>
    </xf>
    <xf numFmtId="194" fontId="4" fillId="0" borderId="101" xfId="50" applyNumberFormat="1" applyFont="1" applyFill="1" applyBorder="1" applyAlignment="1">
      <alignment/>
    </xf>
    <xf numFmtId="194" fontId="4" fillId="34" borderId="101" xfId="50" applyNumberFormat="1" applyFont="1" applyFill="1" applyBorder="1" applyAlignment="1">
      <alignment/>
    </xf>
    <xf numFmtId="194" fontId="0" fillId="0" borderId="0" xfId="0" applyNumberFormat="1" applyAlignment="1">
      <alignment/>
    </xf>
    <xf numFmtId="10" fontId="0" fillId="0" borderId="0" xfId="67" applyNumberFormat="1" applyFont="1" applyAlignment="1">
      <alignment/>
    </xf>
    <xf numFmtId="3" fontId="24" fillId="0" borderId="102" xfId="0" applyNumberFormat="1" applyFont="1" applyBorder="1" applyAlignment="1">
      <alignment horizontal="centerContinuous"/>
    </xf>
    <xf numFmtId="10" fontId="0" fillId="0" borderId="103" xfId="67" applyNumberFormat="1" applyFont="1" applyBorder="1" applyAlignment="1">
      <alignment/>
    </xf>
    <xf numFmtId="194" fontId="20" fillId="0" borderId="100" xfId="50" applyNumberFormat="1" applyFont="1" applyFill="1" applyBorder="1" applyAlignment="1">
      <alignment/>
    </xf>
    <xf numFmtId="10" fontId="0" fillId="0" borderId="104" xfId="67" applyNumberFormat="1" applyFont="1" applyBorder="1" applyAlignment="1">
      <alignment/>
    </xf>
    <xf numFmtId="10" fontId="4" fillId="0" borderId="105" xfId="67" applyNumberFormat="1" applyFont="1" applyFill="1" applyBorder="1" applyAlignment="1">
      <alignment/>
    </xf>
    <xf numFmtId="10" fontId="3" fillId="0" borderId="106" xfId="67" applyNumberFormat="1" applyFont="1" applyBorder="1" applyAlignment="1">
      <alignment horizontal="center"/>
    </xf>
    <xf numFmtId="0" fontId="4" fillId="0" borderId="0" xfId="0" applyFont="1" applyFill="1" applyAlignment="1">
      <alignment/>
    </xf>
    <xf numFmtId="0" fontId="15" fillId="0" borderId="0" xfId="0" applyFont="1" applyFill="1" applyAlignment="1">
      <alignment/>
    </xf>
    <xf numFmtId="0" fontId="26" fillId="0" borderId="0" xfId="0" applyFont="1" applyFill="1" applyAlignment="1">
      <alignment/>
    </xf>
    <xf numFmtId="0" fontId="15" fillId="0" borderId="0" xfId="0" applyFont="1" applyAlignment="1">
      <alignment/>
    </xf>
    <xf numFmtId="0" fontId="20" fillId="0" borderId="0" xfId="0" applyFont="1" applyFill="1" applyBorder="1" applyAlignment="1">
      <alignment horizontal="center"/>
    </xf>
    <xf numFmtId="0" fontId="20" fillId="0" borderId="19" xfId="0" applyFont="1" applyFill="1" applyBorder="1" applyAlignment="1">
      <alignment horizontal="center"/>
    </xf>
    <xf numFmtId="0" fontId="20" fillId="0" borderId="28" xfId="0" applyFont="1" applyFill="1" applyBorder="1" applyAlignment="1">
      <alignment horizontal="center"/>
    </xf>
    <xf numFmtId="0" fontId="20" fillId="0" borderId="20" xfId="0" applyFont="1" applyFill="1" applyBorder="1" applyAlignment="1">
      <alignment horizontal="center"/>
    </xf>
    <xf numFmtId="0" fontId="20" fillId="0" borderId="107" xfId="0" applyFont="1" applyFill="1" applyBorder="1" applyAlignment="1">
      <alignment horizontal="left"/>
    </xf>
    <xf numFmtId="192" fontId="20" fillId="0" borderId="66" xfId="60" applyNumberFormat="1" applyFont="1" applyFill="1" applyBorder="1" applyAlignment="1">
      <alignment horizontal="center"/>
    </xf>
    <xf numFmtId="192" fontId="20" fillId="0" borderId="108" xfId="58" applyNumberFormat="1" applyFont="1" applyFill="1" applyBorder="1" applyAlignment="1">
      <alignment/>
    </xf>
    <xf numFmtId="192" fontId="20" fillId="0" borderId="66" xfId="60" applyNumberFormat="1" applyFont="1" applyFill="1" applyBorder="1" applyAlignment="1">
      <alignment horizontal="right"/>
    </xf>
    <xf numFmtId="0" fontId="4" fillId="0" borderId="73" xfId="0" applyFont="1" applyFill="1" applyBorder="1" applyAlignment="1">
      <alignment/>
    </xf>
    <xf numFmtId="192" fontId="4" fillId="0" borderId="108" xfId="58" applyNumberFormat="1" applyFont="1" applyFill="1" applyBorder="1" applyAlignment="1">
      <alignment/>
    </xf>
    <xf numFmtId="0" fontId="20" fillId="0" borderId="94" xfId="0" applyFont="1" applyFill="1" applyBorder="1" applyAlignment="1">
      <alignment/>
    </xf>
    <xf numFmtId="192" fontId="20" fillId="0" borderId="109" xfId="60" applyNumberFormat="1" applyFont="1" applyFill="1" applyBorder="1" applyAlignment="1">
      <alignment/>
    </xf>
    <xf numFmtId="0" fontId="20" fillId="0" borderId="73" xfId="0" applyFont="1" applyFill="1" applyBorder="1" applyAlignment="1">
      <alignment/>
    </xf>
    <xf numFmtId="192" fontId="20" fillId="0" borderId="110" xfId="58" applyNumberFormat="1" applyFont="1" applyFill="1" applyBorder="1" applyAlignment="1">
      <alignment/>
    </xf>
    <xf numFmtId="0" fontId="4" fillId="0" borderId="91" xfId="0" applyFont="1" applyFill="1" applyBorder="1" applyAlignment="1">
      <alignment/>
    </xf>
    <xf numFmtId="192" fontId="4" fillId="0" borderId="111" xfId="58" applyNumberFormat="1" applyFont="1" applyFill="1" applyBorder="1" applyAlignment="1">
      <alignment/>
    </xf>
    <xf numFmtId="192" fontId="4" fillId="0" borderId="112" xfId="58" applyNumberFormat="1" applyFont="1"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20" fillId="0" borderId="0" xfId="0" applyFont="1" applyFill="1" applyAlignment="1">
      <alignment/>
    </xf>
    <xf numFmtId="194" fontId="4" fillId="0" borderId="0" xfId="0" applyNumberFormat="1" applyFont="1" applyFill="1" applyAlignment="1">
      <alignment/>
    </xf>
    <xf numFmtId="196" fontId="4" fillId="0" borderId="0" xfId="60" applyNumberFormat="1" applyFont="1" applyFill="1" applyAlignment="1">
      <alignment/>
    </xf>
    <xf numFmtId="0" fontId="4" fillId="0" borderId="0" xfId="0" applyFont="1" applyFill="1" applyAlignment="1" quotePrefix="1">
      <alignment horizontal="left"/>
    </xf>
    <xf numFmtId="177" fontId="29" fillId="0" borderId="0" xfId="0" applyNumberFormat="1" applyFont="1" applyFill="1" applyAlignment="1">
      <alignment/>
    </xf>
    <xf numFmtId="196" fontId="20" fillId="0" borderId="0" xfId="0" applyNumberFormat="1" applyFont="1" applyFill="1" applyAlignment="1">
      <alignment/>
    </xf>
    <xf numFmtId="198" fontId="20" fillId="0" borderId="0" xfId="0" applyNumberFormat="1" applyFont="1" applyFill="1" applyAlignment="1">
      <alignment/>
    </xf>
    <xf numFmtId="196" fontId="30" fillId="0" borderId="0" xfId="60" applyNumberFormat="1" applyFont="1" applyFill="1" applyAlignment="1">
      <alignment/>
    </xf>
    <xf numFmtId="0" fontId="26" fillId="0" borderId="0" xfId="0" applyFont="1" applyAlignment="1">
      <alignment/>
    </xf>
    <xf numFmtId="0" fontId="20" fillId="32" borderId="0" xfId="0" applyFont="1" applyFill="1" applyAlignment="1">
      <alignment/>
    </xf>
    <xf numFmtId="196" fontId="4" fillId="0" borderId="0" xfId="0" applyNumberFormat="1" applyFont="1" applyFill="1" applyAlignment="1">
      <alignment/>
    </xf>
    <xf numFmtId="0" fontId="31" fillId="0" borderId="0" xfId="0" applyFont="1" applyFill="1" applyAlignment="1">
      <alignment horizontal="right"/>
    </xf>
    <xf numFmtId="0" fontId="20" fillId="32" borderId="0" xfId="0" applyFont="1" applyFill="1" applyAlignment="1">
      <alignment horizontal="left"/>
    </xf>
    <xf numFmtId="0" fontId="30" fillId="0" borderId="0" xfId="0" applyFont="1" applyFill="1" applyAlignment="1">
      <alignment/>
    </xf>
    <xf numFmtId="184" fontId="24" fillId="0" borderId="0" xfId="0" applyNumberFormat="1" applyFont="1" applyAlignment="1">
      <alignment horizontal="right"/>
    </xf>
    <xf numFmtId="0" fontId="31" fillId="0" borderId="0" xfId="0" applyFont="1" applyAlignment="1">
      <alignment horizontal="right"/>
    </xf>
    <xf numFmtId="0" fontId="33" fillId="0" borderId="0" xfId="0" applyFont="1" applyAlignment="1">
      <alignment/>
    </xf>
    <xf numFmtId="194" fontId="20" fillId="0" borderId="113" xfId="50" applyNumberFormat="1" applyFont="1" applyFill="1" applyBorder="1" applyAlignment="1">
      <alignment/>
    </xf>
    <xf numFmtId="194" fontId="4" fillId="0" borderId="113" xfId="50" applyNumberFormat="1" applyFont="1" applyFill="1" applyBorder="1" applyAlignment="1">
      <alignment/>
    </xf>
    <xf numFmtId="194" fontId="20" fillId="0" borderId="113" xfId="50" applyNumberFormat="1" applyFont="1" applyFill="1" applyBorder="1" applyAlignment="1">
      <alignment/>
    </xf>
    <xf numFmtId="194" fontId="4" fillId="0" borderId="113" xfId="50" applyNumberFormat="1" applyFont="1" applyFill="1" applyBorder="1" applyAlignment="1">
      <alignment/>
    </xf>
    <xf numFmtId="0" fontId="20" fillId="34" borderId="114" xfId="0" applyFont="1" applyFill="1" applyBorder="1" applyAlignment="1">
      <alignment horizontal="center" vertical="center"/>
    </xf>
    <xf numFmtId="0" fontId="20" fillId="34" borderId="115" xfId="0" applyFont="1" applyFill="1" applyBorder="1" applyAlignment="1">
      <alignment horizontal="center" vertical="center" wrapText="1"/>
    </xf>
    <xf numFmtId="0" fontId="20" fillId="34" borderId="116" xfId="0" applyFont="1" applyFill="1" applyBorder="1" applyAlignment="1">
      <alignment horizontal="center" vertical="center" wrapText="1"/>
    </xf>
    <xf numFmtId="0" fontId="4" fillId="34" borderId="101" xfId="0" applyFont="1" applyFill="1" applyBorder="1" applyAlignment="1">
      <alignment/>
    </xf>
    <xf numFmtId="0" fontId="4" fillId="34" borderId="117" xfId="0" applyFont="1" applyFill="1" applyBorder="1" applyAlignment="1">
      <alignment/>
    </xf>
    <xf numFmtId="0" fontId="21" fillId="34" borderId="117" xfId="0" applyFont="1" applyFill="1" applyBorder="1" applyAlignment="1">
      <alignment/>
    </xf>
    <xf numFmtId="3" fontId="20" fillId="34" borderId="98" xfId="0" applyNumberFormat="1" applyFont="1" applyFill="1" applyBorder="1" applyAlignment="1">
      <alignment/>
    </xf>
    <xf numFmtId="3" fontId="20" fillId="34" borderId="101" xfId="0" applyNumberFormat="1" applyFont="1" applyFill="1" applyBorder="1" applyAlignment="1">
      <alignment/>
    </xf>
    <xf numFmtId="3" fontId="20" fillId="34" borderId="117" xfId="0" applyNumberFormat="1" applyFont="1" applyFill="1" applyBorder="1" applyAlignment="1">
      <alignment/>
    </xf>
    <xf numFmtId="3" fontId="39" fillId="34" borderId="101" xfId="0" applyNumberFormat="1" applyFont="1" applyFill="1" applyBorder="1" applyAlignment="1">
      <alignment/>
    </xf>
    <xf numFmtId="3" fontId="39" fillId="34" borderId="117" xfId="0" applyNumberFormat="1" applyFont="1" applyFill="1" applyBorder="1" applyAlignment="1">
      <alignment/>
    </xf>
    <xf numFmtId="3" fontId="4" fillId="34" borderId="98" xfId="0" applyNumberFormat="1" applyFont="1" applyFill="1" applyBorder="1" applyAlignment="1">
      <alignment/>
    </xf>
    <xf numFmtId="3" fontId="4" fillId="34" borderId="101" xfId="0" applyNumberFormat="1" applyFont="1" applyFill="1" applyBorder="1" applyAlignment="1">
      <alignment/>
    </xf>
    <xf numFmtId="3" fontId="4" fillId="34" borderId="117" xfId="0" applyNumberFormat="1" applyFont="1" applyFill="1" applyBorder="1" applyAlignment="1">
      <alignment/>
    </xf>
    <xf numFmtId="3" fontId="21" fillId="34" borderId="117" xfId="0" applyNumberFormat="1" applyFont="1" applyFill="1" applyBorder="1" applyAlignment="1">
      <alignment/>
    </xf>
    <xf numFmtId="3" fontId="4" fillId="34" borderId="101" xfId="0" applyNumberFormat="1" applyFont="1" applyFill="1" applyBorder="1" applyAlignment="1">
      <alignment/>
    </xf>
    <xf numFmtId="3" fontId="21" fillId="34" borderId="101" xfId="0" applyNumberFormat="1" applyFont="1" applyFill="1" applyBorder="1" applyAlignment="1">
      <alignment/>
    </xf>
    <xf numFmtId="3" fontId="20" fillId="34" borderId="101" xfId="0" applyNumberFormat="1" applyFont="1" applyFill="1" applyBorder="1" applyAlignment="1">
      <alignment/>
    </xf>
    <xf numFmtId="3" fontId="20" fillId="34" borderId="117" xfId="0" applyNumberFormat="1" applyFont="1" applyFill="1" applyBorder="1" applyAlignment="1">
      <alignment/>
    </xf>
    <xf numFmtId="0" fontId="4" fillId="34" borderId="98" xfId="0" applyFont="1" applyFill="1" applyBorder="1" applyAlignment="1">
      <alignment/>
    </xf>
    <xf numFmtId="0" fontId="21" fillId="34" borderId="101" xfId="0" applyFont="1" applyFill="1" applyBorder="1" applyAlignment="1">
      <alignment/>
    </xf>
    <xf numFmtId="0" fontId="20" fillId="34" borderId="101" xfId="0" applyFont="1" applyFill="1" applyBorder="1" applyAlignment="1">
      <alignment/>
    </xf>
    <xf numFmtId="194" fontId="39" fillId="34" borderId="101" xfId="50" applyNumberFormat="1" applyFont="1" applyFill="1" applyBorder="1" applyAlignment="1">
      <alignment/>
    </xf>
    <xf numFmtId="194" fontId="39" fillId="34" borderId="117" xfId="50" applyNumberFormat="1" applyFont="1" applyFill="1" applyBorder="1" applyAlignment="1">
      <alignment/>
    </xf>
    <xf numFmtId="3" fontId="4" fillId="34" borderId="117" xfId="0" applyNumberFormat="1" applyFont="1" applyFill="1" applyBorder="1" applyAlignment="1">
      <alignment/>
    </xf>
    <xf numFmtId="3" fontId="4" fillId="0" borderId="101" xfId="0" applyNumberFormat="1" applyFont="1" applyFill="1" applyBorder="1" applyAlignment="1">
      <alignment/>
    </xf>
    <xf numFmtId="3" fontId="4" fillId="0" borderId="101" xfId="0" applyNumberFormat="1" applyFont="1" applyFill="1" applyBorder="1" applyAlignment="1">
      <alignment/>
    </xf>
    <xf numFmtId="194" fontId="4" fillId="34" borderId="101" xfId="0" applyNumberFormat="1" applyFont="1" applyFill="1" applyBorder="1" applyAlignment="1">
      <alignment/>
    </xf>
    <xf numFmtId="0" fontId="20" fillId="34" borderId="101" xfId="0" applyFont="1" applyFill="1" applyBorder="1" applyAlignment="1">
      <alignment/>
    </xf>
    <xf numFmtId="0" fontId="4" fillId="34" borderId="101" xfId="0" applyFont="1" applyFill="1" applyBorder="1" applyAlignment="1">
      <alignment/>
    </xf>
    <xf numFmtId="0" fontId="4" fillId="34" borderId="118" xfId="0" applyFont="1" applyFill="1" applyBorder="1" applyAlignment="1">
      <alignment horizontal="left" indent="1"/>
    </xf>
    <xf numFmtId="0" fontId="4" fillId="34" borderId="118" xfId="0" applyFont="1" applyFill="1" applyBorder="1" applyAlignment="1">
      <alignment horizontal="left" indent="1"/>
    </xf>
    <xf numFmtId="194" fontId="20" fillId="34" borderId="101" xfId="0" applyNumberFormat="1" applyFont="1" applyFill="1" applyBorder="1" applyAlignment="1">
      <alignment/>
    </xf>
    <xf numFmtId="194" fontId="4" fillId="34" borderId="117" xfId="50" applyNumberFormat="1" applyFont="1" applyFill="1" applyBorder="1" applyAlignment="1">
      <alignment/>
    </xf>
    <xf numFmtId="194" fontId="21" fillId="34" borderId="117" xfId="50" applyNumberFormat="1" applyFont="1" applyFill="1" applyBorder="1" applyAlignment="1">
      <alignment/>
    </xf>
    <xf numFmtId="3" fontId="20" fillId="0" borderId="101" xfId="0" applyNumberFormat="1" applyFont="1" applyFill="1" applyBorder="1" applyAlignment="1">
      <alignment/>
    </xf>
    <xf numFmtId="0" fontId="4" fillId="0" borderId="101" xfId="0" applyFont="1" applyFill="1" applyBorder="1" applyAlignment="1">
      <alignment/>
    </xf>
    <xf numFmtId="0" fontId="4" fillId="0" borderId="101" xfId="0" applyFont="1" applyFill="1" applyBorder="1" applyAlignment="1">
      <alignment/>
    </xf>
    <xf numFmtId="3" fontId="4" fillId="0" borderId="117" xfId="0" applyNumberFormat="1" applyFont="1" applyFill="1" applyBorder="1" applyAlignment="1">
      <alignment/>
    </xf>
    <xf numFmtId="3" fontId="21" fillId="0" borderId="117" xfId="0" applyNumberFormat="1" applyFont="1" applyFill="1" applyBorder="1" applyAlignment="1">
      <alignment/>
    </xf>
    <xf numFmtId="3" fontId="20" fillId="0" borderId="117" xfId="0" applyNumberFormat="1" applyFont="1" applyFill="1" applyBorder="1" applyAlignment="1">
      <alignment/>
    </xf>
    <xf numFmtId="3" fontId="39" fillId="0" borderId="117" xfId="0" applyNumberFormat="1" applyFont="1" applyFill="1" applyBorder="1" applyAlignment="1">
      <alignment/>
    </xf>
    <xf numFmtId="0" fontId="20" fillId="0" borderId="101" xfId="0" applyFont="1" applyFill="1" applyBorder="1" applyAlignment="1">
      <alignment/>
    </xf>
    <xf numFmtId="3" fontId="20" fillId="0" borderId="101" xfId="0" applyNumberFormat="1" applyFont="1" applyFill="1" applyBorder="1" applyAlignment="1">
      <alignment/>
    </xf>
    <xf numFmtId="3" fontId="20" fillId="0" borderId="117" xfId="0" applyNumberFormat="1" applyFont="1" applyFill="1" applyBorder="1" applyAlignment="1">
      <alignment/>
    </xf>
    <xf numFmtId="3" fontId="39" fillId="0" borderId="101" xfId="0" applyNumberFormat="1" applyFont="1" applyFill="1" applyBorder="1" applyAlignment="1">
      <alignment/>
    </xf>
    <xf numFmtId="3" fontId="4" fillId="0" borderId="0" xfId="0" applyNumberFormat="1" applyFont="1" applyFill="1" applyBorder="1" applyAlignment="1">
      <alignment/>
    </xf>
    <xf numFmtId="0" fontId="20" fillId="0" borderId="101" xfId="0" applyFont="1" applyFill="1" applyBorder="1" applyAlignment="1">
      <alignment/>
    </xf>
    <xf numFmtId="3" fontId="4" fillId="0" borderId="117" xfId="0" applyNumberFormat="1" applyFont="1" applyFill="1" applyBorder="1" applyAlignment="1">
      <alignment/>
    </xf>
    <xf numFmtId="3" fontId="4" fillId="0" borderId="119" xfId="0" applyNumberFormat="1" applyFont="1" applyFill="1" applyBorder="1" applyAlignment="1">
      <alignment/>
    </xf>
    <xf numFmtId="3" fontId="20" fillId="0" borderId="119" xfId="0" applyNumberFormat="1" applyFont="1" applyFill="1" applyBorder="1" applyAlignment="1">
      <alignment/>
    </xf>
    <xf numFmtId="3" fontId="20" fillId="0" borderId="120" xfId="0" applyNumberFormat="1" applyFont="1" applyFill="1" applyBorder="1" applyAlignment="1">
      <alignment/>
    </xf>
    <xf numFmtId="0" fontId="20" fillId="34" borderId="19" xfId="0" applyFont="1" applyFill="1" applyBorder="1" applyAlignment="1">
      <alignment horizontal="center"/>
    </xf>
    <xf numFmtId="0" fontId="20" fillId="34" borderId="28" xfId="0" applyFont="1" applyFill="1" applyBorder="1" applyAlignment="1">
      <alignment horizontal="center"/>
    </xf>
    <xf numFmtId="192" fontId="20" fillId="0" borderId="66" xfId="50" applyNumberFormat="1" applyFont="1" applyFill="1" applyBorder="1" applyAlignment="1">
      <alignment horizontal="center"/>
    </xf>
    <xf numFmtId="0" fontId="20" fillId="34" borderId="20" xfId="0" applyFont="1" applyFill="1" applyBorder="1" applyAlignment="1">
      <alignment horizontal="center"/>
    </xf>
    <xf numFmtId="192" fontId="20" fillId="0" borderId="108" xfId="50" applyNumberFormat="1" applyFont="1" applyFill="1" applyBorder="1" applyAlignment="1">
      <alignment horizontal="center"/>
    </xf>
    <xf numFmtId="192" fontId="20" fillId="34" borderId="19" xfId="60" applyNumberFormat="1" applyFont="1" applyFill="1" applyBorder="1" applyAlignment="1">
      <alignment horizontal="center"/>
    </xf>
    <xf numFmtId="192" fontId="20" fillId="34" borderId="108" xfId="58" applyNumberFormat="1" applyFont="1" applyFill="1" applyBorder="1" applyAlignment="1">
      <alignment/>
    </xf>
    <xf numFmtId="192" fontId="20" fillId="0" borderId="66" xfId="50" applyNumberFormat="1" applyFont="1" applyFill="1" applyBorder="1" applyAlignment="1">
      <alignment/>
    </xf>
    <xf numFmtId="192" fontId="20" fillId="0" borderId="66" xfId="67" applyNumberFormat="1" applyFont="1" applyFill="1" applyBorder="1" applyAlignment="1">
      <alignment horizontal="right"/>
    </xf>
    <xf numFmtId="10" fontId="20" fillId="0" borderId="108" xfId="67" applyNumberFormat="1" applyFont="1" applyFill="1" applyBorder="1" applyAlignment="1">
      <alignment horizontal="center"/>
    </xf>
    <xf numFmtId="196" fontId="20" fillId="0" borderId="66" xfId="60" applyNumberFormat="1" applyFont="1" applyFill="1" applyBorder="1" applyAlignment="1">
      <alignment horizontal="center"/>
    </xf>
    <xf numFmtId="9" fontId="4" fillId="0" borderId="108" xfId="67" applyFont="1" applyFill="1" applyBorder="1" applyAlignment="1">
      <alignment/>
    </xf>
    <xf numFmtId="192" fontId="4" fillId="34" borderId="110" xfId="58" applyNumberFormat="1" applyFont="1" applyFill="1" applyBorder="1" applyAlignment="1">
      <alignment/>
    </xf>
    <xf numFmtId="192" fontId="4" fillId="34" borderId="108" xfId="58" applyNumberFormat="1" applyFont="1" applyFill="1" applyBorder="1" applyAlignment="1">
      <alignment/>
    </xf>
    <xf numFmtId="192" fontId="20" fillId="0" borderId="108" xfId="50" applyNumberFormat="1" applyFont="1" applyFill="1" applyBorder="1" applyAlignment="1">
      <alignment/>
    </xf>
    <xf numFmtId="192" fontId="4" fillId="0" borderId="108" xfId="50" applyNumberFormat="1" applyFont="1" applyFill="1" applyBorder="1" applyAlignment="1">
      <alignment/>
    </xf>
    <xf numFmtId="192" fontId="4" fillId="0" borderId="108" xfId="67" applyNumberFormat="1" applyFont="1" applyFill="1" applyBorder="1" applyAlignment="1">
      <alignment/>
    </xf>
    <xf numFmtId="10" fontId="4" fillId="0" borderId="108" xfId="67" applyNumberFormat="1" applyFont="1" applyFill="1" applyBorder="1" applyAlignment="1">
      <alignment horizontal="center"/>
    </xf>
    <xf numFmtId="194" fontId="4" fillId="0" borderId="108" xfId="58" applyNumberFormat="1" applyFont="1" applyFill="1" applyBorder="1" applyAlignment="1">
      <alignment/>
    </xf>
    <xf numFmtId="10" fontId="4" fillId="0" borderId="108" xfId="67" applyNumberFormat="1" applyFont="1" applyFill="1" applyBorder="1" applyAlignment="1">
      <alignment/>
    </xf>
    <xf numFmtId="192" fontId="20" fillId="34" borderId="121" xfId="60" applyNumberFormat="1" applyFont="1" applyFill="1" applyBorder="1" applyAlignment="1">
      <alignment/>
    </xf>
    <xf numFmtId="192" fontId="20" fillId="0" borderId="108" xfId="58" applyNumberFormat="1" applyFont="1" applyFill="1" applyBorder="1" applyAlignment="1">
      <alignment/>
    </xf>
    <xf numFmtId="192" fontId="20" fillId="0" borderId="109" xfId="67" applyNumberFormat="1" applyFont="1" applyFill="1" applyBorder="1" applyAlignment="1">
      <alignment/>
    </xf>
    <xf numFmtId="10" fontId="20" fillId="0" borderId="109" xfId="67" applyNumberFormat="1" applyFont="1" applyFill="1" applyBorder="1" applyAlignment="1">
      <alignment horizontal="center"/>
    </xf>
    <xf numFmtId="196" fontId="20" fillId="0" borderId="109" xfId="60" applyNumberFormat="1" applyFont="1" applyFill="1" applyBorder="1" applyAlignment="1">
      <alignment/>
    </xf>
    <xf numFmtId="10" fontId="20" fillId="0" borderId="109" xfId="67" applyNumberFormat="1" applyFont="1" applyFill="1" applyBorder="1" applyAlignment="1">
      <alignment/>
    </xf>
    <xf numFmtId="192" fontId="4" fillId="0" borderId="108" xfId="50" applyNumberFormat="1" applyFont="1" applyFill="1" applyBorder="1" applyAlignment="1">
      <alignment/>
    </xf>
    <xf numFmtId="192" fontId="4" fillId="0" borderId="66" xfId="50" applyNumberFormat="1" applyFont="1" applyFill="1" applyBorder="1" applyAlignment="1">
      <alignment/>
    </xf>
    <xf numFmtId="192" fontId="21" fillId="0" borderId="108" xfId="58" applyNumberFormat="1" applyFont="1" applyFill="1" applyBorder="1" applyAlignment="1">
      <alignment/>
    </xf>
    <xf numFmtId="43" fontId="15" fillId="0" borderId="0" xfId="0" applyNumberFormat="1" applyFont="1" applyFill="1" applyAlignment="1">
      <alignment/>
    </xf>
    <xf numFmtId="192" fontId="15" fillId="0" borderId="0" xfId="0" applyNumberFormat="1" applyFont="1" applyFill="1" applyAlignment="1">
      <alignment/>
    </xf>
    <xf numFmtId="185" fontId="15" fillId="0" borderId="0" xfId="50" applyFont="1" applyFill="1" applyAlignment="1">
      <alignment/>
    </xf>
    <xf numFmtId="192" fontId="20" fillId="34" borderId="110" xfId="58" applyNumberFormat="1" applyFont="1" applyFill="1" applyBorder="1" applyAlignment="1">
      <alignment/>
    </xf>
    <xf numFmtId="192" fontId="20" fillId="0" borderId="108" xfId="67" applyNumberFormat="1" applyFont="1" applyFill="1" applyBorder="1" applyAlignment="1">
      <alignment/>
    </xf>
    <xf numFmtId="194" fontId="20" fillId="0" borderId="108" xfId="58" applyNumberFormat="1" applyFont="1" applyFill="1" applyBorder="1" applyAlignment="1">
      <alignment/>
    </xf>
    <xf numFmtId="185" fontId="15" fillId="0" borderId="0" xfId="0" applyNumberFormat="1" applyFont="1" applyFill="1" applyAlignment="1">
      <alignment/>
    </xf>
    <xf numFmtId="192" fontId="20" fillId="34" borderId="110" xfId="58" applyNumberFormat="1" applyFont="1" applyFill="1" applyBorder="1" applyAlignment="1">
      <alignment horizontal="right"/>
    </xf>
    <xf numFmtId="192" fontId="4" fillId="34" borderId="110" xfId="67" applyNumberFormat="1" applyFont="1" applyFill="1" applyBorder="1" applyAlignment="1">
      <alignment/>
    </xf>
    <xf numFmtId="192" fontId="4" fillId="34" borderId="110" xfId="67" applyNumberFormat="1" applyFont="1" applyFill="1" applyBorder="1" applyAlignment="1">
      <alignment horizontal="right"/>
    </xf>
    <xf numFmtId="194" fontId="4" fillId="0" borderId="108" xfId="67" applyNumberFormat="1" applyFont="1" applyFill="1" applyBorder="1" applyAlignment="1">
      <alignment/>
    </xf>
    <xf numFmtId="192" fontId="4" fillId="34" borderId="110" xfId="58" applyNumberFormat="1" applyFont="1" applyFill="1" applyBorder="1" applyAlignment="1">
      <alignment horizontal="right"/>
    </xf>
    <xf numFmtId="192" fontId="4" fillId="34" borderId="111" xfId="58" applyNumberFormat="1" applyFont="1" applyFill="1" applyBorder="1" applyAlignment="1">
      <alignment/>
    </xf>
    <xf numFmtId="192" fontId="4" fillId="34" borderId="112" xfId="58" applyNumberFormat="1" applyFont="1" applyFill="1" applyBorder="1" applyAlignment="1">
      <alignment/>
    </xf>
    <xf numFmtId="192" fontId="4" fillId="0" borderId="112" xfId="50" applyNumberFormat="1" applyFont="1" applyFill="1" applyBorder="1" applyAlignment="1">
      <alignment/>
    </xf>
    <xf numFmtId="192" fontId="4" fillId="0" borderId="112" xfId="67" applyNumberFormat="1" applyFont="1" applyFill="1" applyBorder="1" applyAlignment="1">
      <alignment/>
    </xf>
    <xf numFmtId="194" fontId="4" fillId="0" borderId="112" xfId="58" applyNumberFormat="1" applyFont="1" applyFill="1" applyBorder="1" applyAlignment="1">
      <alignment/>
    </xf>
    <xf numFmtId="192" fontId="4" fillId="34" borderId="112" xfId="50" applyNumberFormat="1" applyFont="1" applyFill="1" applyBorder="1" applyAlignment="1">
      <alignment/>
    </xf>
    <xf numFmtId="10" fontId="4" fillId="0" borderId="112" xfId="67" applyNumberFormat="1" applyFont="1" applyFill="1" applyBorder="1" applyAlignment="1">
      <alignment horizontal="center"/>
    </xf>
    <xf numFmtId="9" fontId="4" fillId="0" borderId="112" xfId="67" applyFont="1" applyFill="1" applyBorder="1" applyAlignment="1">
      <alignment/>
    </xf>
    <xf numFmtId="0" fontId="20" fillId="0" borderId="31" xfId="0" applyFont="1" applyFill="1" applyBorder="1" applyAlignment="1">
      <alignment/>
    </xf>
    <xf numFmtId="192" fontId="20" fillId="0" borderId="26" xfId="0" applyNumberFormat="1" applyFont="1" applyFill="1" applyBorder="1" applyAlignment="1">
      <alignment/>
    </xf>
    <xf numFmtId="192" fontId="27" fillId="0" borderId="26" xfId="50" applyNumberFormat="1" applyFont="1" applyFill="1" applyBorder="1" applyAlignment="1">
      <alignment/>
    </xf>
    <xf numFmtId="192" fontId="20" fillId="0" borderId="26" xfId="0" applyNumberFormat="1" applyFont="1" applyFill="1" applyBorder="1" applyAlignment="1">
      <alignment horizontal="center"/>
    </xf>
    <xf numFmtId="192" fontId="20" fillId="0" borderId="26" xfId="67" applyNumberFormat="1" applyFont="1" applyFill="1" applyBorder="1" applyAlignment="1">
      <alignment/>
    </xf>
    <xf numFmtId="10" fontId="4" fillId="0" borderId="64" xfId="67" applyNumberFormat="1" applyFont="1" applyFill="1" applyBorder="1" applyAlignment="1">
      <alignment horizontal="center"/>
    </xf>
    <xf numFmtId="194" fontId="20" fillId="0" borderId="26" xfId="0" applyNumberFormat="1" applyFont="1" applyFill="1" applyBorder="1" applyAlignment="1">
      <alignment/>
    </xf>
    <xf numFmtId="9" fontId="4" fillId="0" borderId="64" xfId="67" applyFont="1" applyFill="1" applyBorder="1" applyAlignment="1">
      <alignment/>
    </xf>
    <xf numFmtId="10" fontId="4" fillId="0" borderId="109" xfId="67" applyNumberFormat="1" applyFont="1" applyFill="1" applyBorder="1" applyAlignment="1">
      <alignment horizontal="center"/>
    </xf>
    <xf numFmtId="0" fontId="27" fillId="0" borderId="0" xfId="0" applyFont="1" applyFill="1" applyAlignment="1">
      <alignment/>
    </xf>
    <xf numFmtId="194" fontId="15" fillId="0" borderId="0" xfId="50" applyNumberFormat="1" applyFont="1" applyFill="1" applyAlignment="1">
      <alignment/>
    </xf>
    <xf numFmtId="194" fontId="15" fillId="0" borderId="0" xfId="0" applyNumberFormat="1" applyFont="1" applyFill="1" applyAlignment="1">
      <alignment/>
    </xf>
    <xf numFmtId="195" fontId="28" fillId="0" borderId="0" xfId="67" applyNumberFormat="1" applyFont="1" applyFill="1" applyAlignment="1">
      <alignment/>
    </xf>
    <xf numFmtId="194" fontId="28" fillId="0" borderId="0" xfId="67" applyNumberFormat="1" applyFont="1" applyFill="1" applyAlignment="1">
      <alignment/>
    </xf>
    <xf numFmtId="10" fontId="28" fillId="0" borderId="0" xfId="67" applyNumberFormat="1" applyFont="1" applyFill="1" applyAlignment="1">
      <alignment/>
    </xf>
    <xf numFmtId="3" fontId="28" fillId="0" borderId="0" xfId="0" applyNumberFormat="1" applyFont="1" applyFill="1" applyAlignment="1">
      <alignment/>
    </xf>
    <xf numFmtId="3" fontId="15" fillId="0" borderId="0" xfId="0" applyNumberFormat="1" applyFont="1" applyFill="1" applyAlignment="1">
      <alignment/>
    </xf>
    <xf numFmtId="185" fontId="4" fillId="0" borderId="0" xfId="50" applyFont="1" applyFill="1" applyAlignment="1">
      <alignment/>
    </xf>
    <xf numFmtId="195" fontId="4" fillId="0" borderId="0" xfId="67" applyNumberFormat="1" applyFont="1" applyFill="1" applyAlignment="1">
      <alignment/>
    </xf>
    <xf numFmtId="201" fontId="4" fillId="0" borderId="0" xfId="61" applyNumberFormat="1" applyFont="1" applyFill="1" applyAlignment="1">
      <alignment/>
    </xf>
    <xf numFmtId="184" fontId="15" fillId="0" borderId="0" xfId="0" applyNumberFormat="1" applyFont="1" applyFill="1" applyAlignment="1">
      <alignment/>
    </xf>
    <xf numFmtId="0" fontId="32" fillId="0" borderId="0" xfId="0" applyFont="1" applyFill="1" applyAlignment="1">
      <alignment/>
    </xf>
    <xf numFmtId="184" fontId="24" fillId="0" borderId="0" xfId="0" applyNumberFormat="1" applyFont="1" applyFill="1" applyAlignment="1">
      <alignment horizontal="right"/>
    </xf>
    <xf numFmtId="0" fontId="33" fillId="0" borderId="0" xfId="0" applyFont="1" applyFill="1" applyAlignment="1">
      <alignment/>
    </xf>
    <xf numFmtId="0" fontId="15" fillId="0" borderId="0" xfId="0" applyFont="1" applyFill="1" applyAlignment="1">
      <alignment horizontal="center"/>
    </xf>
    <xf numFmtId="0" fontId="34" fillId="0" borderId="10" xfId="0" applyFont="1" applyFill="1" applyBorder="1" applyAlignment="1">
      <alignment/>
    </xf>
    <xf numFmtId="3" fontId="35" fillId="0" borderId="10" xfId="0" applyNumberFormat="1" applyFont="1" applyFill="1" applyBorder="1" applyAlignment="1">
      <alignment/>
    </xf>
    <xf numFmtId="3" fontId="35" fillId="0" borderId="0" xfId="0" applyNumberFormat="1" applyFont="1" applyFill="1" applyBorder="1" applyAlignment="1">
      <alignment/>
    </xf>
    <xf numFmtId="194" fontId="35" fillId="0" borderId="10" xfId="50" applyNumberFormat="1" applyFont="1" applyFill="1" applyBorder="1" applyAlignment="1">
      <alignment/>
    </xf>
    <xf numFmtId="194" fontId="35" fillId="0" borderId="0" xfId="50" applyNumberFormat="1" applyFont="1" applyFill="1" applyBorder="1" applyAlignment="1">
      <alignment/>
    </xf>
    <xf numFmtId="3" fontId="34" fillId="0" borderId="10" xfId="0" applyNumberFormat="1" applyFont="1" applyFill="1" applyBorder="1" applyAlignment="1">
      <alignment/>
    </xf>
    <xf numFmtId="3" fontId="34" fillId="0" borderId="0" xfId="0" applyNumberFormat="1" applyFont="1" applyFill="1" applyBorder="1" applyAlignment="1">
      <alignment/>
    </xf>
    <xf numFmtId="0" fontId="34" fillId="0" borderId="0" xfId="0" applyFont="1" applyFill="1" applyAlignment="1">
      <alignment/>
    </xf>
    <xf numFmtId="0" fontId="35" fillId="0" borderId="0" xfId="0" applyFont="1" applyFill="1" applyAlignment="1">
      <alignment/>
    </xf>
    <xf numFmtId="194" fontId="35" fillId="0" borderId="0" xfId="0" applyNumberFormat="1" applyFont="1" applyFill="1" applyAlignment="1">
      <alignment/>
    </xf>
    <xf numFmtId="194" fontId="35" fillId="0" borderId="10" xfId="0" applyNumberFormat="1" applyFont="1" applyFill="1" applyBorder="1" applyAlignment="1">
      <alignment/>
    </xf>
    <xf numFmtId="194" fontId="35" fillId="0" borderId="0" xfId="0" applyNumberFormat="1" applyFont="1" applyFill="1" applyBorder="1" applyAlignment="1">
      <alignment/>
    </xf>
    <xf numFmtId="194" fontId="34" fillId="0" borderId="10" xfId="0" applyNumberFormat="1" applyFont="1" applyFill="1" applyBorder="1" applyAlignment="1">
      <alignment/>
    </xf>
    <xf numFmtId="194" fontId="34" fillId="0" borderId="0" xfId="0" applyNumberFormat="1" applyFont="1" applyFill="1" applyBorder="1" applyAlignment="1">
      <alignment/>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3" fontId="20" fillId="0" borderId="122" xfId="0" applyNumberFormat="1" applyFont="1" applyFill="1" applyBorder="1" applyAlignment="1">
      <alignment/>
    </xf>
    <xf numFmtId="0" fontId="4" fillId="0" borderId="123" xfId="0" applyFont="1" applyFill="1" applyBorder="1" applyAlignment="1">
      <alignment/>
    </xf>
    <xf numFmtId="0" fontId="41" fillId="0" borderId="0" xfId="0" applyFont="1" applyFill="1" applyAlignment="1">
      <alignment/>
    </xf>
    <xf numFmtId="3" fontId="20" fillId="0" borderId="124" xfId="0" applyNumberFormat="1" applyFont="1" applyFill="1" applyBorder="1" applyAlignment="1">
      <alignment/>
    </xf>
    <xf numFmtId="0" fontId="42" fillId="0" borderId="0" xfId="0" applyFont="1" applyFill="1" applyAlignment="1">
      <alignment/>
    </xf>
    <xf numFmtId="3" fontId="4" fillId="0" borderId="124" xfId="0" applyNumberFormat="1" applyFont="1" applyFill="1" applyBorder="1" applyAlignment="1">
      <alignment/>
    </xf>
    <xf numFmtId="3" fontId="18" fillId="0" borderId="0" xfId="0" applyNumberFormat="1" applyFont="1" applyFill="1" applyAlignment="1">
      <alignment horizontal="right"/>
    </xf>
    <xf numFmtId="0" fontId="0" fillId="0" borderId="0" xfId="0" applyFill="1" applyAlignment="1">
      <alignment horizontal="center"/>
    </xf>
    <xf numFmtId="10" fontId="0" fillId="0" borderId="0" xfId="67" applyNumberFormat="1" applyFont="1" applyFill="1" applyAlignment="1">
      <alignment/>
    </xf>
    <xf numFmtId="194" fontId="21" fillId="0" borderId="113" xfId="50" applyNumberFormat="1" applyFont="1" applyFill="1" applyBorder="1" applyAlignment="1">
      <alignment/>
    </xf>
    <xf numFmtId="194" fontId="18" fillId="0" borderId="0" xfId="50" applyNumberFormat="1" applyFont="1" applyFill="1" applyAlignment="1">
      <alignment horizontal="right"/>
    </xf>
    <xf numFmtId="0" fontId="20" fillId="0" borderId="124" xfId="0" applyFont="1" applyFill="1" applyBorder="1" applyAlignment="1">
      <alignment/>
    </xf>
    <xf numFmtId="194" fontId="20" fillId="0" borderId="117" xfId="50" applyNumberFormat="1" applyFont="1" applyFill="1" applyBorder="1" applyAlignment="1">
      <alignment/>
    </xf>
    <xf numFmtId="3" fontId="20" fillId="0" borderId="124" xfId="0" applyNumberFormat="1" applyFont="1" applyFill="1" applyBorder="1" applyAlignment="1">
      <alignment/>
    </xf>
    <xf numFmtId="0" fontId="4" fillId="0" borderId="124" xfId="0" applyFont="1" applyFill="1" applyBorder="1" applyAlignment="1">
      <alignment/>
    </xf>
    <xf numFmtId="3" fontId="7" fillId="0" borderId="0" xfId="0" applyNumberFormat="1" applyFont="1" applyFill="1" applyAlignment="1">
      <alignment horizontal="right"/>
    </xf>
    <xf numFmtId="10" fontId="1" fillId="0" borderId="0" xfId="0" applyNumberFormat="1" applyFont="1" applyFill="1" applyAlignment="1">
      <alignment/>
    </xf>
    <xf numFmtId="194" fontId="1" fillId="0" borderId="0" xfId="50" applyNumberFormat="1" applyFont="1" applyFill="1" applyAlignment="1">
      <alignment/>
    </xf>
    <xf numFmtId="194" fontId="0" fillId="0" borderId="0" xfId="0" applyNumberFormat="1" applyFill="1" applyAlignment="1">
      <alignment/>
    </xf>
    <xf numFmtId="37" fontId="20" fillId="0" borderId="124" xfId="0" applyNumberFormat="1" applyFont="1" applyFill="1" applyBorder="1" applyAlignment="1">
      <alignment/>
    </xf>
    <xf numFmtId="0" fontId="3" fillId="0" borderId="0" xfId="0" applyFont="1" applyFill="1" applyAlignment="1">
      <alignment/>
    </xf>
    <xf numFmtId="37" fontId="4" fillId="0" borderId="124" xfId="0" applyNumberFormat="1" applyFont="1" applyFill="1" applyBorder="1" applyAlignment="1">
      <alignment/>
    </xf>
    <xf numFmtId="194" fontId="4" fillId="0" borderId="117" xfId="50" applyNumberFormat="1" applyFont="1" applyFill="1" applyBorder="1" applyAlignment="1">
      <alignment/>
    </xf>
    <xf numFmtId="0" fontId="4" fillId="0" borderId="124" xfId="0" applyFont="1" applyFill="1" applyBorder="1" applyAlignment="1">
      <alignment horizontal="left" indent="1"/>
    </xf>
    <xf numFmtId="0" fontId="4" fillId="0" borderId="124" xfId="0" applyFont="1" applyFill="1" applyBorder="1" applyAlignment="1">
      <alignment horizontal="left" indent="1"/>
    </xf>
    <xf numFmtId="10" fontId="2" fillId="0" borderId="0" xfId="0" applyNumberFormat="1" applyFont="1" applyFill="1" applyAlignment="1">
      <alignment/>
    </xf>
    <xf numFmtId="0" fontId="4" fillId="0" borderId="125" xfId="0" applyFont="1" applyFill="1" applyBorder="1" applyAlignment="1">
      <alignment horizontal="left" indent="1"/>
    </xf>
    <xf numFmtId="0" fontId="4" fillId="0" borderId="125" xfId="0" applyFont="1" applyFill="1" applyBorder="1" applyAlignment="1">
      <alignment horizontal="left" indent="1"/>
    </xf>
    <xf numFmtId="37" fontId="4" fillId="0" borderId="124" xfId="0" applyNumberFormat="1" applyFont="1" applyFill="1" applyBorder="1" applyAlignment="1">
      <alignment horizontal="left"/>
    </xf>
    <xf numFmtId="37" fontId="20" fillId="0" borderId="124" xfId="0" applyNumberFormat="1" applyFont="1" applyFill="1" applyBorder="1" applyAlignment="1">
      <alignment horizontal="left"/>
    </xf>
    <xf numFmtId="37" fontId="4" fillId="0" borderId="124" xfId="0" applyNumberFormat="1" applyFont="1" applyFill="1" applyBorder="1" applyAlignment="1">
      <alignment horizontal="left"/>
    </xf>
    <xf numFmtId="0" fontId="4" fillId="0" borderId="124" xfId="0" applyFont="1" applyFill="1" applyBorder="1" applyAlignment="1">
      <alignment/>
    </xf>
    <xf numFmtId="183" fontId="15" fillId="0" borderId="29" xfId="0" applyNumberFormat="1" applyFont="1" applyBorder="1" applyAlignment="1">
      <alignment/>
    </xf>
    <xf numFmtId="0" fontId="20" fillId="0" borderId="124" xfId="0" applyFont="1" applyFill="1" applyBorder="1" applyAlignment="1">
      <alignment/>
    </xf>
    <xf numFmtId="0" fontId="4" fillId="0" borderId="126" xfId="0" applyFont="1" applyFill="1" applyBorder="1" applyAlignment="1">
      <alignment/>
    </xf>
    <xf numFmtId="3" fontId="20" fillId="0" borderId="127" xfId="0" applyNumberFormat="1" applyFont="1" applyFill="1" applyBorder="1" applyAlignment="1">
      <alignment/>
    </xf>
    <xf numFmtId="0" fontId="4" fillId="0" borderId="127" xfId="0" applyFont="1" applyFill="1" applyBorder="1" applyAlignment="1">
      <alignment/>
    </xf>
    <xf numFmtId="185" fontId="0" fillId="0" borderId="0" xfId="0" applyNumberFormat="1" applyFill="1" applyAlignment="1">
      <alignment/>
    </xf>
    <xf numFmtId="0" fontId="3" fillId="0" borderId="10" xfId="0" applyFont="1" applyFill="1" applyBorder="1" applyAlignment="1">
      <alignment horizontal="center"/>
    </xf>
    <xf numFmtId="0" fontId="0" fillId="0" borderId="10" xfId="0" applyFont="1" applyFill="1" applyBorder="1" applyAlignment="1">
      <alignment/>
    </xf>
    <xf numFmtId="0" fontId="3" fillId="0" borderId="10" xfId="0" applyFont="1" applyFill="1" applyBorder="1" applyAlignment="1">
      <alignment/>
    </xf>
    <xf numFmtId="194" fontId="3" fillId="0" borderId="10" xfId="0" applyNumberFormat="1" applyFont="1" applyFill="1" applyBorder="1" applyAlignment="1">
      <alignment/>
    </xf>
    <xf numFmtId="194" fontId="0" fillId="0" borderId="10" xfId="0" applyNumberFormat="1" applyFont="1" applyFill="1" applyBorder="1" applyAlignment="1">
      <alignment/>
    </xf>
    <xf numFmtId="194" fontId="0" fillId="0" borderId="10" xfId="55" applyNumberFormat="1" applyFont="1" applyFill="1" applyBorder="1" applyAlignment="1">
      <alignment/>
    </xf>
    <xf numFmtId="0" fontId="0" fillId="0" borderId="0" xfId="0" applyFont="1" applyFill="1" applyAlignment="1">
      <alignment/>
    </xf>
    <xf numFmtId="194" fontId="3" fillId="0" borderId="10" xfId="55" applyNumberFormat="1" applyFont="1" applyFill="1" applyBorder="1" applyAlignment="1">
      <alignment/>
    </xf>
    <xf numFmtId="202" fontId="0" fillId="0" borderId="10" xfId="55" applyNumberFormat="1" applyFont="1" applyFill="1" applyBorder="1" applyAlignment="1">
      <alignment/>
    </xf>
    <xf numFmtId="10" fontId="20" fillId="0" borderId="128" xfId="67" applyNumberFormat="1" applyFont="1" applyBorder="1" applyAlignment="1">
      <alignment horizontal="center" vertical="center" wrapText="1"/>
    </xf>
    <xf numFmtId="0" fontId="4" fillId="34" borderId="129" xfId="0" applyFont="1" applyFill="1" applyBorder="1" applyAlignment="1">
      <alignment/>
    </xf>
    <xf numFmtId="0" fontId="4" fillId="34" borderId="130" xfId="0" applyFont="1" applyFill="1" applyBorder="1" applyAlignment="1">
      <alignment/>
    </xf>
    <xf numFmtId="0" fontId="21" fillId="34" borderId="130" xfId="0" applyFont="1" applyFill="1" applyBorder="1" applyAlignment="1">
      <alignment/>
    </xf>
    <xf numFmtId="194" fontId="4" fillId="0" borderId="129" xfId="50" applyNumberFormat="1" applyFont="1" applyFill="1" applyBorder="1" applyAlignment="1">
      <alignment/>
    </xf>
    <xf numFmtId="0" fontId="4" fillId="0" borderId="98" xfId="0" applyFont="1" applyFill="1" applyBorder="1" applyAlignment="1">
      <alignment/>
    </xf>
    <xf numFmtId="37" fontId="4" fillId="0" borderId="98" xfId="0" applyNumberFormat="1" applyFont="1" applyFill="1" applyBorder="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97" xfId="0" applyFont="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97"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07" xfId="0" applyFont="1" applyFill="1" applyBorder="1" applyAlignment="1">
      <alignment horizontal="center"/>
    </xf>
    <xf numFmtId="0" fontId="20" fillId="0" borderId="74" xfId="0" applyFont="1" applyFill="1" applyBorder="1" applyAlignment="1">
      <alignment horizontal="center"/>
    </xf>
    <xf numFmtId="0" fontId="20" fillId="0" borderId="85" xfId="0" applyFont="1" applyFill="1" applyBorder="1" applyAlignment="1">
      <alignment horizontal="center"/>
    </xf>
    <xf numFmtId="0" fontId="20" fillId="0" borderId="19" xfId="0" applyFont="1" applyFill="1" applyBorder="1" applyAlignment="1">
      <alignment horizontal="center"/>
    </xf>
    <xf numFmtId="0" fontId="20" fillId="0" borderId="28" xfId="0" applyFont="1" applyFill="1" applyBorder="1" applyAlignment="1">
      <alignment horizontal="center"/>
    </xf>
    <xf numFmtId="0" fontId="20" fillId="0" borderId="20" xfId="0" applyFont="1" applyFill="1" applyBorder="1" applyAlignment="1">
      <alignment horizontal="center"/>
    </xf>
    <xf numFmtId="0" fontId="20" fillId="34" borderId="19" xfId="0" applyFont="1" applyFill="1" applyBorder="1" applyAlignment="1">
      <alignment horizontal="center" vertical="center" wrapText="1"/>
    </xf>
    <xf numFmtId="0" fontId="20" fillId="34" borderId="28"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0" fillId="0" borderId="0" xfId="0" applyFont="1" applyFill="1" applyAlignment="1">
      <alignment horizontal="center"/>
    </xf>
    <xf numFmtId="0" fontId="2" fillId="0" borderId="0" xfId="0" applyFont="1" applyFill="1" applyAlignment="1">
      <alignment horizontal="center"/>
    </xf>
    <xf numFmtId="0" fontId="20" fillId="0" borderId="75" xfId="0" applyFont="1" applyBorder="1" applyAlignment="1">
      <alignment horizontal="center"/>
    </xf>
    <xf numFmtId="0" fontId="20" fillId="0" borderId="131" xfId="0" applyFont="1" applyBorder="1" applyAlignment="1">
      <alignment horizontal="center"/>
    </xf>
    <xf numFmtId="0" fontId="20" fillId="0" borderId="132" xfId="0" applyFont="1" applyBorder="1" applyAlignment="1">
      <alignment horizontal="center"/>
    </xf>
    <xf numFmtId="0" fontId="20" fillId="0" borderId="133" xfId="0" applyFont="1" applyBorder="1" applyAlignment="1">
      <alignment horizontal="center"/>
    </xf>
    <xf numFmtId="0" fontId="20" fillId="0" borderId="0" xfId="0" applyFont="1" applyBorder="1" applyAlignment="1">
      <alignment horizontal="center"/>
    </xf>
    <xf numFmtId="0" fontId="20" fillId="0" borderId="103" xfId="0" applyFont="1" applyBorder="1" applyAlignment="1">
      <alignment horizontal="center"/>
    </xf>
    <xf numFmtId="0" fontId="20" fillId="0" borderId="23" xfId="0" applyFont="1" applyFill="1" applyBorder="1" applyAlignment="1">
      <alignment horizontal="center"/>
    </xf>
    <xf numFmtId="0" fontId="20" fillId="0" borderId="24" xfId="0" applyFont="1" applyFill="1" applyBorder="1" applyAlignment="1">
      <alignment horizontal="center"/>
    </xf>
    <xf numFmtId="0" fontId="20" fillId="0" borderId="30" xfId="0" applyFont="1" applyFill="1" applyBorder="1" applyAlignment="1">
      <alignment horizontal="center"/>
    </xf>
    <xf numFmtId="0" fontId="20" fillId="0" borderId="33" xfId="0" applyFont="1" applyFill="1" applyBorder="1" applyAlignment="1">
      <alignment horizontal="center"/>
    </xf>
    <xf numFmtId="0" fontId="20" fillId="0" borderId="29" xfId="0" applyFont="1" applyFill="1" applyBorder="1" applyAlignment="1">
      <alignment horizontal="center"/>
    </xf>
    <xf numFmtId="0" fontId="20" fillId="0" borderId="0" xfId="0" applyFont="1" applyFill="1" applyBorder="1" applyAlignment="1">
      <alignment horizontal="center"/>
    </xf>
    <xf numFmtId="0" fontId="38" fillId="0" borderId="0" xfId="0" applyFont="1" applyFill="1" applyAlignment="1">
      <alignment horizontal="center"/>
    </xf>
    <xf numFmtId="0" fontId="3" fillId="0" borderId="56" xfId="0" applyFont="1" applyFill="1" applyBorder="1" applyAlignment="1">
      <alignment horizontal="justify" vertical="justify"/>
    </xf>
    <xf numFmtId="0" fontId="3" fillId="0" borderId="17" xfId="0" applyFont="1" applyFill="1" applyBorder="1" applyAlignment="1">
      <alignment horizontal="justify" vertical="justify"/>
    </xf>
    <xf numFmtId="0" fontId="0" fillId="0" borderId="56" xfId="0" applyFont="1" applyFill="1" applyBorder="1" applyAlignment="1">
      <alignment horizontal="center"/>
    </xf>
    <xf numFmtId="0" fontId="0" fillId="0" borderId="17" xfId="0" applyFont="1" applyFill="1" applyBorder="1" applyAlignment="1">
      <alignment horizontal="center"/>
    </xf>
    <xf numFmtId="194" fontId="3" fillId="0" borderId="56" xfId="0" applyNumberFormat="1" applyFont="1" applyFill="1" applyBorder="1" applyAlignment="1">
      <alignment horizontal="center"/>
    </xf>
    <xf numFmtId="0" fontId="3" fillId="0" borderId="17" xfId="0" applyFont="1" applyFill="1" applyBorder="1" applyAlignment="1">
      <alignment horizontal="center"/>
    </xf>
    <xf numFmtId="194" fontId="3" fillId="0" borderId="17" xfId="0" applyNumberFormat="1"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Millares 7" xfId="57"/>
    <cellStyle name="Millares_Formato Presupuesto Minagricultura" xfId="58"/>
    <cellStyle name="Millares_Gastos de personal" xfId="59"/>
    <cellStyle name="Millares_INGRESOS 2005" xfId="60"/>
    <cellStyle name="Currency" xfId="61"/>
    <cellStyle name="Currency [0]" xfId="62"/>
    <cellStyle name="Moneda 2" xfId="63"/>
    <cellStyle name="Neutral" xfId="64"/>
    <cellStyle name="Normal 2" xfId="65"/>
    <cellStyle name="Notas" xfId="66"/>
    <cellStyle name="Percent" xfId="67"/>
    <cellStyle name="Porcentual 2" xfId="68"/>
    <cellStyle name="Porcentual 3" xfId="69"/>
    <cellStyle name="Porcentual 4" xfId="70"/>
    <cellStyle name="Porcentual 5" xfId="71"/>
    <cellStyle name="Salida" xfId="72"/>
    <cellStyle name="Texto de advertencia" xfId="73"/>
    <cellStyle name="Texto explicativo" xfId="74"/>
    <cellStyle name="Título" xfId="75"/>
    <cellStyle name="Título 2" xfId="76"/>
    <cellStyle name="Título 3" xfId="77"/>
    <cellStyle name="Total" xfId="78"/>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09\MANEJO%20PPTO%202009\PRESUPUESTO%20INGRESOS%20ESTIMAD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A&#241;o%202010\ACUERDOS%202010\ANEXO%20ACUERDO%203-1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2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21-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241;o%202010\ACUERDOS%202010\ANEXO%20ACUERDO%206-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241;o%202010\ACUERDOS%202010\ANEXO%20ACUERDO%209-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241;o%202010\A&#241;o%202010\MANEJO%20PTO%202010\PRESUPUESTO%20ESTIMADO%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contabilidad vs pto"/>
    </sheetNames>
    <sheetDataSet>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6">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
      <sheetName val="Anexo 2"/>
      <sheetName val="por áreas"/>
      <sheetName val="Superavit"/>
    </sheetNames>
    <sheetDataSet>
      <sheetData sheetId="2">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5">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 val="otro"/>
      <sheetName val="Hoja2"/>
    </sheetNames>
    <definedNames>
      <definedName name="CUOTAPPC2005" refersTo="=Anexo 1 Minagricultura!$D$15"/>
      <definedName name="VTAS2005" refersTo="=Anexo 1 Minagricultura!$D$32"/>
    </definedNames>
    <sheetDataSet>
      <sheetData sheetId="0">
        <row r="14">
          <cell r="D14">
            <v>5931699455.065387</v>
          </cell>
        </row>
        <row r="15">
          <cell r="D15">
            <v>1977233151.6884623</v>
          </cell>
        </row>
        <row r="18">
          <cell r="D18">
            <v>82500000</v>
          </cell>
        </row>
        <row r="19">
          <cell r="D19">
            <v>27500000</v>
          </cell>
        </row>
        <row r="22">
          <cell r="D22">
            <v>1584365993.4872904</v>
          </cell>
        </row>
        <row r="23">
          <cell r="D23">
            <v>201052904.8214283</v>
          </cell>
        </row>
        <row r="28">
          <cell r="D28">
            <v>65823042.857142866</v>
          </cell>
        </row>
        <row r="29">
          <cell r="D29">
            <v>0</v>
          </cell>
        </row>
        <row r="32">
          <cell r="D32">
            <v>4134851486.4000006</v>
          </cell>
        </row>
        <row r="33">
          <cell r="D33">
            <v>33559548</v>
          </cell>
        </row>
        <row r="34">
          <cell r="D34">
            <v>9348838.285714285</v>
          </cell>
        </row>
        <row r="35">
          <cell r="D35">
            <v>124905842.28571428</v>
          </cell>
        </row>
        <row r="36">
          <cell r="D36">
            <v>1821222682.6814463</v>
          </cell>
        </row>
        <row r="37">
          <cell r="D37">
            <v>357903600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 TRIM."/>
      <sheetName val="Inversión total en programas"/>
      <sheetName val="MODELO CONTRATISTAS"/>
      <sheetName val="Servicios personal 2005"/>
      <sheetName val="Nómina 2004"/>
    </sheetNames>
    <sheetDataSet>
      <sheetData sheetId="0">
        <row r="14">
          <cell r="B14">
            <v>1274509616.25</v>
          </cell>
        </row>
        <row r="15">
          <cell r="B15">
            <v>424836538.75</v>
          </cell>
        </row>
        <row r="18">
          <cell r="B18">
            <v>20625000</v>
          </cell>
        </row>
        <row r="19">
          <cell r="B19">
            <v>6875000</v>
          </cell>
        </row>
        <row r="22">
          <cell r="B22">
            <v>350000000</v>
          </cell>
        </row>
        <row r="23">
          <cell r="B23">
            <v>150000000</v>
          </cell>
        </row>
        <row r="28">
          <cell r="B28">
            <v>16455760.714285726</v>
          </cell>
        </row>
        <row r="29">
          <cell r="B29">
            <v>0</v>
          </cell>
        </row>
        <row r="32">
          <cell r="B32">
            <v>996552160</v>
          </cell>
        </row>
        <row r="33">
          <cell r="B33">
            <v>8389887</v>
          </cell>
        </row>
        <row r="34">
          <cell r="B34">
            <v>2337209.5714285723</v>
          </cell>
        </row>
        <row r="35">
          <cell r="B35">
            <v>57301377.23809523</v>
          </cell>
        </row>
        <row r="36">
          <cell r="B36">
            <v>287719911.245716</v>
          </cell>
        </row>
        <row r="37">
          <cell r="B37">
            <v>333000000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 TRIM."/>
      <sheetName val="Inversión total en programas"/>
      <sheetName val="MODELO CONTRATISTAS"/>
      <sheetName val="Servicios personal 2005"/>
      <sheetName val="Nómina 2004"/>
    </sheetNames>
    <sheetDataSet>
      <sheetData sheetId="0">
        <row r="14">
          <cell r="B14">
            <v>1439280100.5</v>
          </cell>
        </row>
        <row r="15">
          <cell r="B15">
            <v>479760033.5</v>
          </cell>
        </row>
        <row r="18">
          <cell r="B18">
            <v>20625000</v>
          </cell>
        </row>
        <row r="19">
          <cell r="B19">
            <v>6875000</v>
          </cell>
        </row>
        <row r="22">
          <cell r="B22">
            <v>314154775</v>
          </cell>
        </row>
        <row r="23">
          <cell r="B23">
            <v>27462896</v>
          </cell>
        </row>
        <row r="28">
          <cell r="B28">
            <v>12000000</v>
          </cell>
        </row>
        <row r="29">
          <cell r="B29">
            <v>600000</v>
          </cell>
        </row>
        <row r="32">
          <cell r="B32">
            <v>1086458685</v>
          </cell>
        </row>
        <row r="33">
          <cell r="B33">
            <v>1500000</v>
          </cell>
        </row>
        <row r="34">
          <cell r="B34">
            <v>3800000</v>
          </cell>
        </row>
        <row r="35">
          <cell r="B35">
            <v>58721377.23809523</v>
          </cell>
        </row>
        <row r="36">
          <cell r="B36">
            <v>236051538.36092576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II TRIM."/>
      <sheetName val="Inversión total en programas"/>
      <sheetName val="MODELO CONTRATISTAS"/>
      <sheetName val="Servicios personal 2005"/>
      <sheetName val="Nómina 2004"/>
      <sheetName val="Nómina y honorarios II TRIM."/>
    </sheetNames>
    <sheetDataSet>
      <sheetData sheetId="3">
        <row r="13">
          <cell r="C13">
            <v>26284710.5</v>
          </cell>
        </row>
        <row r="27">
          <cell r="C27">
            <v>398038324.3609258</v>
          </cell>
        </row>
        <row r="32">
          <cell r="C32">
            <v>4000000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S"/>
      <sheetName val="ECO"/>
      <sheetName val="TEC"/>
      <sheetName val="PPC"/>
      <sheetName val="MER"/>
      <sheetName val="FUN"/>
    </sheetNames>
    <sheetDataSet>
      <sheetData sheetId="0">
        <row r="56">
          <cell r="N56">
            <v>2400637823.648</v>
          </cell>
          <cell r="O56">
            <v>3708419861.07</v>
          </cell>
          <cell r="P56">
            <v>3812994782.17</v>
          </cell>
          <cell r="Q56">
            <v>4484195201.360001</v>
          </cell>
        </row>
      </sheetData>
      <sheetData sheetId="3">
        <row r="72">
          <cell r="Z72">
            <v>1222845746.23</v>
          </cell>
          <cell r="AA72">
            <v>1771541220.6</v>
          </cell>
          <cell r="AB72">
            <v>1223473358.02</v>
          </cell>
          <cell r="AC72">
            <v>1688982004.31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693" t="s">
        <v>18</v>
      </c>
      <c r="B1" s="693"/>
      <c r="C1" s="693"/>
      <c r="D1" s="693"/>
      <c r="E1" s="693"/>
      <c r="F1" s="93"/>
    </row>
    <row r="2" spans="1:6" ht="15">
      <c r="A2" s="693" t="s">
        <v>51</v>
      </c>
      <c r="B2" s="693"/>
      <c r="C2" s="693"/>
      <c r="D2" s="693"/>
      <c r="E2" s="693"/>
      <c r="F2" s="93"/>
    </row>
    <row r="3" spans="1:256" ht="15">
      <c r="A3" s="694" t="s">
        <v>52</v>
      </c>
      <c r="B3" s="694"/>
      <c r="C3" s="694"/>
      <c r="D3" s="694"/>
      <c r="E3" s="694"/>
      <c r="F3" s="93"/>
      <c r="G3" s="694"/>
      <c r="H3" s="694"/>
      <c r="I3" s="694"/>
      <c r="J3" s="694"/>
      <c r="K3" s="694"/>
      <c r="L3" s="182"/>
      <c r="M3" s="694"/>
      <c r="N3" s="694"/>
      <c r="O3" s="694"/>
      <c r="P3" s="694"/>
      <c r="Q3" s="694"/>
      <c r="R3" s="182"/>
      <c r="S3" s="694"/>
      <c r="T3" s="694"/>
      <c r="U3" s="694"/>
      <c r="V3" s="694"/>
      <c r="W3" s="694"/>
      <c r="X3" s="182"/>
      <c r="Y3" s="694"/>
      <c r="Z3" s="694"/>
      <c r="AA3" s="694"/>
      <c r="AB3" s="694"/>
      <c r="AC3" s="694"/>
      <c r="AD3" s="182"/>
      <c r="AE3" s="694"/>
      <c r="AF3" s="694"/>
      <c r="AG3" s="694"/>
      <c r="AH3" s="694"/>
      <c r="AI3" s="694"/>
      <c r="AJ3" s="182"/>
      <c r="AK3" s="694"/>
      <c r="AL3" s="694"/>
      <c r="AM3" s="694"/>
      <c r="AN3" s="694"/>
      <c r="AO3" s="694"/>
      <c r="AP3" s="182"/>
      <c r="AQ3" s="694"/>
      <c r="AR3" s="694"/>
      <c r="AS3" s="694"/>
      <c r="AT3" s="694"/>
      <c r="AU3" s="694"/>
      <c r="AV3" s="182"/>
      <c r="AW3" s="694"/>
      <c r="AX3" s="694"/>
      <c r="AY3" s="694"/>
      <c r="AZ3" s="694"/>
      <c r="BA3" s="694"/>
      <c r="BB3" s="182"/>
      <c r="BC3" s="694"/>
      <c r="BD3" s="694"/>
      <c r="BE3" s="694"/>
      <c r="BF3" s="694"/>
      <c r="BG3" s="694"/>
      <c r="BH3" s="182"/>
      <c r="BI3" s="694"/>
      <c r="BJ3" s="694"/>
      <c r="BK3" s="694"/>
      <c r="BL3" s="694"/>
      <c r="BM3" s="694"/>
      <c r="BN3" s="182"/>
      <c r="BO3" s="694"/>
      <c r="BP3" s="694"/>
      <c r="BQ3" s="694"/>
      <c r="BR3" s="694"/>
      <c r="BS3" s="694"/>
      <c r="BT3" s="182"/>
      <c r="BU3" s="694"/>
      <c r="BV3" s="694"/>
      <c r="BW3" s="694"/>
      <c r="BX3" s="694"/>
      <c r="BY3" s="694"/>
      <c r="BZ3" s="182"/>
      <c r="CA3" s="694"/>
      <c r="CB3" s="694"/>
      <c r="CC3" s="694"/>
      <c r="CD3" s="694"/>
      <c r="CE3" s="694"/>
      <c r="CF3" s="182"/>
      <c r="CG3" s="694"/>
      <c r="CH3" s="694"/>
      <c r="CI3" s="694"/>
      <c r="CJ3" s="694"/>
      <c r="CK3" s="694"/>
      <c r="CL3" s="182"/>
      <c r="CM3" s="694"/>
      <c r="CN3" s="694"/>
      <c r="CO3" s="694"/>
      <c r="CP3" s="694"/>
      <c r="CQ3" s="694"/>
      <c r="CR3" s="182"/>
      <c r="CS3" s="694"/>
      <c r="CT3" s="694"/>
      <c r="CU3" s="694"/>
      <c r="CV3" s="694"/>
      <c r="CW3" s="694"/>
      <c r="CX3" s="182"/>
      <c r="CY3" s="694"/>
      <c r="CZ3" s="694"/>
      <c r="DA3" s="694"/>
      <c r="DB3" s="694"/>
      <c r="DC3" s="694"/>
      <c r="DD3" s="182"/>
      <c r="DE3" s="694"/>
      <c r="DF3" s="694"/>
      <c r="DG3" s="694"/>
      <c r="DH3" s="694"/>
      <c r="DI3" s="694"/>
      <c r="DJ3" s="182"/>
      <c r="DK3" s="694"/>
      <c r="DL3" s="694"/>
      <c r="DM3" s="694"/>
      <c r="DN3" s="694"/>
      <c r="DO3" s="694"/>
      <c r="DP3" s="182"/>
      <c r="DQ3" s="694"/>
      <c r="DR3" s="694"/>
      <c r="DS3" s="694"/>
      <c r="DT3" s="694"/>
      <c r="DU3" s="694"/>
      <c r="DV3" s="182"/>
      <c r="DW3" s="694"/>
      <c r="DX3" s="694"/>
      <c r="DY3" s="694"/>
      <c r="DZ3" s="694"/>
      <c r="EA3" s="694"/>
      <c r="EB3" s="182"/>
      <c r="EC3" s="694"/>
      <c r="ED3" s="694"/>
      <c r="EE3" s="694"/>
      <c r="EF3" s="694"/>
      <c r="EG3" s="694"/>
      <c r="EH3" s="182"/>
      <c r="EI3" s="694"/>
      <c r="EJ3" s="694"/>
      <c r="EK3" s="694"/>
      <c r="EL3" s="694"/>
      <c r="EM3" s="694"/>
      <c r="EN3" s="182"/>
      <c r="EO3" s="694"/>
      <c r="EP3" s="694"/>
      <c r="EQ3" s="694"/>
      <c r="ER3" s="694"/>
      <c r="ES3" s="694"/>
      <c r="ET3" s="182"/>
      <c r="EU3" s="694"/>
      <c r="EV3" s="694"/>
      <c r="EW3" s="694"/>
      <c r="EX3" s="694"/>
      <c r="EY3" s="694"/>
      <c r="EZ3" s="182"/>
      <c r="FA3" s="694"/>
      <c r="FB3" s="694"/>
      <c r="FC3" s="694"/>
      <c r="FD3" s="694"/>
      <c r="FE3" s="694"/>
      <c r="FF3" s="182"/>
      <c r="FG3" s="694"/>
      <c r="FH3" s="694"/>
      <c r="FI3" s="694"/>
      <c r="FJ3" s="694"/>
      <c r="FK3" s="694"/>
      <c r="FL3" s="182"/>
      <c r="FM3" s="694"/>
      <c r="FN3" s="694"/>
      <c r="FO3" s="694"/>
      <c r="FP3" s="694"/>
      <c r="FQ3" s="694"/>
      <c r="FR3" s="182"/>
      <c r="FS3" s="694"/>
      <c r="FT3" s="694"/>
      <c r="FU3" s="694"/>
      <c r="FV3" s="694"/>
      <c r="FW3" s="694"/>
      <c r="FX3" s="182"/>
      <c r="FY3" s="694"/>
      <c r="FZ3" s="694"/>
      <c r="GA3" s="694"/>
      <c r="GB3" s="694"/>
      <c r="GC3" s="694"/>
      <c r="GD3" s="182"/>
      <c r="GE3" s="694"/>
      <c r="GF3" s="694"/>
      <c r="GG3" s="694"/>
      <c r="GH3" s="694"/>
      <c r="GI3" s="694"/>
      <c r="GJ3" s="182"/>
      <c r="GK3" s="694"/>
      <c r="GL3" s="694"/>
      <c r="GM3" s="694"/>
      <c r="GN3" s="694"/>
      <c r="GO3" s="694"/>
      <c r="GP3" s="182"/>
      <c r="GQ3" s="694"/>
      <c r="GR3" s="694"/>
      <c r="GS3" s="694"/>
      <c r="GT3" s="694"/>
      <c r="GU3" s="694"/>
      <c r="GV3" s="182"/>
      <c r="GW3" s="694"/>
      <c r="GX3" s="694"/>
      <c r="GY3" s="694"/>
      <c r="GZ3" s="694"/>
      <c r="HA3" s="694"/>
      <c r="HB3" s="182"/>
      <c r="HC3" s="694"/>
      <c r="HD3" s="694"/>
      <c r="HE3" s="694"/>
      <c r="HF3" s="694"/>
      <c r="HG3" s="694"/>
      <c r="HH3" s="182"/>
      <c r="HI3" s="694"/>
      <c r="HJ3" s="694"/>
      <c r="HK3" s="694"/>
      <c r="HL3" s="694"/>
      <c r="HM3" s="694"/>
      <c r="HN3" s="182"/>
      <c r="HO3" s="694"/>
      <c r="HP3" s="694"/>
      <c r="HQ3" s="694"/>
      <c r="HR3" s="694"/>
      <c r="HS3" s="694"/>
      <c r="HT3" s="182"/>
      <c r="HU3" s="694"/>
      <c r="HV3" s="694"/>
      <c r="HW3" s="694"/>
      <c r="HX3" s="694"/>
      <c r="HY3" s="694"/>
      <c r="HZ3" s="182"/>
      <c r="IA3" s="694"/>
      <c r="IB3" s="694"/>
      <c r="IC3" s="694"/>
      <c r="ID3" s="694"/>
      <c r="IE3" s="694"/>
      <c r="IF3" s="182"/>
      <c r="IG3" s="694"/>
      <c r="IH3" s="694"/>
      <c r="II3" s="694"/>
      <c r="IJ3" s="694"/>
      <c r="IK3" s="694"/>
      <c r="IL3" s="182"/>
      <c r="IM3" s="694"/>
      <c r="IN3" s="694"/>
      <c r="IO3" s="694"/>
      <c r="IP3" s="694"/>
      <c r="IQ3" s="694"/>
      <c r="IR3" s="182"/>
      <c r="IS3" s="694"/>
      <c r="IT3" s="694"/>
      <c r="IU3" s="694"/>
      <c r="IV3" s="694"/>
    </row>
    <row r="4" spans="1:6" s="2" customFormat="1" ht="15.75" thickBot="1">
      <c r="A4" s="695"/>
      <c r="B4" s="695"/>
      <c r="C4" s="695"/>
      <c r="D4" s="695"/>
      <c r="E4" s="695"/>
      <c r="F4" s="227"/>
    </row>
    <row r="5" spans="1:7" ht="50.25" customHeight="1" thickTop="1">
      <c r="A5" s="228" t="s">
        <v>29</v>
      </c>
      <c r="B5" s="237" t="s">
        <v>241</v>
      </c>
      <c r="C5" s="238" t="s">
        <v>242</v>
      </c>
      <c r="D5" s="229" t="s">
        <v>53</v>
      </c>
      <c r="E5" s="229" t="s">
        <v>25</v>
      </c>
      <c r="F5" s="229" t="s">
        <v>39</v>
      </c>
      <c r="G5" s="1"/>
    </row>
    <row r="6" spans="1:7" ht="12.75">
      <c r="A6" s="183"/>
      <c r="B6" s="31"/>
      <c r="C6" s="32"/>
      <c r="D6" s="32"/>
      <c r="E6" s="32"/>
      <c r="F6" s="33"/>
      <c r="G6" s="1"/>
    </row>
    <row r="7" spans="1:7" ht="14.25">
      <c r="A7" s="5" t="s">
        <v>19</v>
      </c>
      <c r="B7" s="5"/>
      <c r="C7" s="6" t="e">
        <f>+C8</f>
        <v>#REF!</v>
      </c>
      <c r="D7" s="6"/>
      <c r="E7" s="6" t="e">
        <f>+E8</f>
        <v>#REF!</v>
      </c>
      <c r="F7" s="7" t="e">
        <f>+E7/E62*100</f>
        <v>#REF!</v>
      </c>
      <c r="G7" s="1"/>
    </row>
    <row r="8" spans="1:7" ht="15">
      <c r="A8" s="8" t="s">
        <v>20</v>
      </c>
      <c r="B8" s="8"/>
      <c r="C8" s="9" t="e">
        <f>+HONTOTAL</f>
        <v>#REF!</v>
      </c>
      <c r="D8" s="9"/>
      <c r="E8" s="9" t="e">
        <f>+C8</f>
        <v>#REF!</v>
      </c>
      <c r="F8" s="10"/>
      <c r="G8" s="1"/>
    </row>
    <row r="9" spans="1:7" ht="15">
      <c r="A9" s="8"/>
      <c r="B9" s="8"/>
      <c r="C9" s="9"/>
      <c r="D9" s="11"/>
      <c r="E9" s="6"/>
      <c r="F9" s="12"/>
      <c r="G9" s="1"/>
    </row>
    <row r="10" spans="1:7" ht="15">
      <c r="A10" s="5" t="s">
        <v>21</v>
      </c>
      <c r="B10" s="5"/>
      <c r="C10" s="11"/>
      <c r="D10" s="11"/>
      <c r="E10" s="6" t="e">
        <f>SUM(E11:E24)</f>
        <v>#REF!</v>
      </c>
      <c r="F10" s="7" t="e">
        <f>+E10/E62*100</f>
        <v>#REF!</v>
      </c>
      <c r="G10" s="1"/>
    </row>
    <row r="11" spans="1:7" ht="15">
      <c r="A11" s="13" t="s">
        <v>41</v>
      </c>
      <c r="B11" s="8">
        <v>22930268</v>
      </c>
      <c r="C11" s="9" t="e">
        <f>+#REF!</f>
        <v>#REF!</v>
      </c>
      <c r="D11" s="14" t="e">
        <f>(C11-B11)/C11</f>
        <v>#REF!</v>
      </c>
      <c r="E11" s="9" t="e">
        <f>+SUM(C11:C11)</f>
        <v>#REF!</v>
      </c>
      <c r="F11" s="10" t="e">
        <f>(+E11/E62)*100</f>
        <v>#REF!</v>
      </c>
      <c r="G11" s="1"/>
    </row>
    <row r="12" spans="1:7" ht="15">
      <c r="A12" s="13" t="s">
        <v>42</v>
      </c>
      <c r="B12" s="8">
        <v>5600000</v>
      </c>
      <c r="C12" s="9" t="e">
        <f>+#REF!</f>
        <v>#REF!</v>
      </c>
      <c r="D12" s="14" t="e">
        <f aca="true" t="shared" si="0" ref="D12:D25">(C12-B12)/C12</f>
        <v>#REF!</v>
      </c>
      <c r="E12" s="9" t="e">
        <f>+SUM(C12:C12)</f>
        <v>#REF!</v>
      </c>
      <c r="F12" s="10" t="e">
        <f>+E12/E62*100</f>
        <v>#REF!</v>
      </c>
      <c r="G12" s="1"/>
    </row>
    <row r="13" spans="1:7" ht="15">
      <c r="A13" s="13" t="s">
        <v>43</v>
      </c>
      <c r="B13" s="8">
        <v>13482000</v>
      </c>
      <c r="C13" s="9" t="e">
        <f>+#REF!</f>
        <v>#REF!</v>
      </c>
      <c r="D13" s="300" t="e">
        <f t="shared" si="0"/>
        <v>#REF!</v>
      </c>
      <c r="E13" s="9" t="e">
        <f>+SUM(C13:C13)</f>
        <v>#REF!</v>
      </c>
      <c r="F13" s="10" t="e">
        <f>+E13/E62*100</f>
        <v>#REF!</v>
      </c>
      <c r="G13" s="1"/>
    </row>
    <row r="14" spans="1:7" ht="15">
      <c r="A14" s="13" t="s">
        <v>22</v>
      </c>
      <c r="B14" s="8">
        <v>14927652</v>
      </c>
      <c r="C14" s="9" t="e">
        <f>+#REF!</f>
        <v>#REF!</v>
      </c>
      <c r="D14" s="300" t="e">
        <f t="shared" si="0"/>
        <v>#REF!</v>
      </c>
      <c r="E14" s="9" t="e">
        <f>+#REF!</f>
        <v>#REF!</v>
      </c>
      <c r="F14" s="10" t="e">
        <f>+E14/E62*100</f>
        <v>#REF!</v>
      </c>
      <c r="G14" s="1"/>
    </row>
    <row r="15" spans="1:7" ht="15">
      <c r="A15" s="13" t="s">
        <v>44</v>
      </c>
      <c r="B15" s="8">
        <v>37500000</v>
      </c>
      <c r="C15" s="9" t="e">
        <f>+#REF!</f>
        <v>#REF!</v>
      </c>
      <c r="D15" s="300" t="e">
        <f t="shared" si="0"/>
        <v>#REF!</v>
      </c>
      <c r="E15" s="9" t="e">
        <f aca="true" t="shared" si="1" ref="E15:E24">+SUM(C15:C15)</f>
        <v>#REF!</v>
      </c>
      <c r="F15" s="10" t="e">
        <f>+E15/E62*100</f>
        <v>#REF!</v>
      </c>
      <c r="G15" s="1"/>
    </row>
    <row r="16" spans="1:7" ht="15">
      <c r="A16" s="13" t="s">
        <v>23</v>
      </c>
      <c r="B16" s="8">
        <v>24826333</v>
      </c>
      <c r="C16" s="9" t="e">
        <f>+#REF!</f>
        <v>#REF!</v>
      </c>
      <c r="D16" s="300" t="e">
        <f t="shared" si="0"/>
        <v>#REF!</v>
      </c>
      <c r="E16" s="9" t="e">
        <f t="shared" si="1"/>
        <v>#REF!</v>
      </c>
      <c r="F16" s="10" t="e">
        <f>+E16/E62*100</f>
        <v>#REF!</v>
      </c>
      <c r="G16" s="1"/>
    </row>
    <row r="17" spans="1:7" ht="15">
      <c r="A17" s="13" t="s">
        <v>45</v>
      </c>
      <c r="B17" s="8">
        <v>10566333</v>
      </c>
      <c r="C17" s="9" t="e">
        <f>+#REF!</f>
        <v>#REF!</v>
      </c>
      <c r="D17" s="300" t="e">
        <f t="shared" si="0"/>
        <v>#REF!</v>
      </c>
      <c r="E17" s="9" t="e">
        <f t="shared" si="1"/>
        <v>#REF!</v>
      </c>
      <c r="F17" s="10" t="e">
        <f>+E17/E62*100</f>
        <v>#REF!</v>
      </c>
      <c r="G17" s="1"/>
    </row>
    <row r="18" spans="1:7" ht="15">
      <c r="A18" s="13" t="s">
        <v>195</v>
      </c>
      <c r="B18" s="8">
        <v>19639000</v>
      </c>
      <c r="C18" s="9" t="e">
        <f>+#REF!</f>
        <v>#REF!</v>
      </c>
      <c r="D18" s="300" t="e">
        <f t="shared" si="0"/>
        <v>#REF!</v>
      </c>
      <c r="E18" s="9" t="e">
        <f t="shared" si="1"/>
        <v>#REF!</v>
      </c>
      <c r="F18" s="10" t="e">
        <f>+E18/E62*100</f>
        <v>#REF!</v>
      </c>
      <c r="G18" s="1"/>
    </row>
    <row r="19" spans="1:7" ht="15">
      <c r="A19" s="13" t="s">
        <v>24</v>
      </c>
      <c r="B19" s="8">
        <v>42000000</v>
      </c>
      <c r="C19" s="9" t="e">
        <f>+#REF!</f>
        <v>#REF!</v>
      </c>
      <c r="D19" s="300" t="e">
        <f t="shared" si="0"/>
        <v>#REF!</v>
      </c>
      <c r="E19" s="9" t="e">
        <f t="shared" si="1"/>
        <v>#REF!</v>
      </c>
      <c r="F19" s="10" t="e">
        <f>+E19/E62*100</f>
        <v>#REF!</v>
      </c>
      <c r="G19" s="1"/>
    </row>
    <row r="20" spans="1:7" ht="15">
      <c r="A20" s="13" t="s">
        <v>40</v>
      </c>
      <c r="B20" s="8">
        <v>2572500</v>
      </c>
      <c r="C20" s="9" t="e">
        <f>+#REF!</f>
        <v>#REF!</v>
      </c>
      <c r="D20" s="300" t="e">
        <f t="shared" si="0"/>
        <v>#REF!</v>
      </c>
      <c r="E20" s="9" t="e">
        <f t="shared" si="1"/>
        <v>#REF!</v>
      </c>
      <c r="F20" s="10" t="e">
        <f>+E20/E62*100</f>
        <v>#REF!</v>
      </c>
      <c r="G20" s="1"/>
    </row>
    <row r="21" spans="1:7" ht="15">
      <c r="A21" s="13" t="s">
        <v>46</v>
      </c>
      <c r="B21" s="8">
        <v>26582000</v>
      </c>
      <c r="C21" s="9" t="e">
        <f>+#REF!</f>
        <v>#REF!</v>
      </c>
      <c r="D21" s="300" t="e">
        <f t="shared" si="0"/>
        <v>#REF!</v>
      </c>
      <c r="E21" s="9" t="e">
        <f t="shared" si="1"/>
        <v>#REF!</v>
      </c>
      <c r="F21" s="10" t="e">
        <f>+E21/E62*100</f>
        <v>#REF!</v>
      </c>
      <c r="G21" s="1"/>
    </row>
    <row r="22" spans="1:7" ht="15">
      <c r="A22" s="13" t="s">
        <v>47</v>
      </c>
      <c r="B22" s="8">
        <v>6479251</v>
      </c>
      <c r="C22" s="9" t="e">
        <f>+#REF!</f>
        <v>#REF!</v>
      </c>
      <c r="D22" s="300" t="e">
        <f t="shared" si="0"/>
        <v>#REF!</v>
      </c>
      <c r="E22" s="9" t="e">
        <f t="shared" si="1"/>
        <v>#REF!</v>
      </c>
      <c r="F22" s="10" t="e">
        <f>+E22/E62*100</f>
        <v>#REF!</v>
      </c>
      <c r="G22" s="1"/>
    </row>
    <row r="23" spans="1:7" ht="15">
      <c r="A23" s="13" t="s">
        <v>48</v>
      </c>
      <c r="B23" s="8">
        <v>42800000</v>
      </c>
      <c r="C23" s="9" t="e">
        <f>+#REF!</f>
        <v>#REF!</v>
      </c>
      <c r="D23" s="300" t="e">
        <f t="shared" si="0"/>
        <v>#REF!</v>
      </c>
      <c r="E23" s="9" t="e">
        <f t="shared" si="1"/>
        <v>#REF!</v>
      </c>
      <c r="F23" s="10" t="e">
        <f>+E23/E62*100</f>
        <v>#REF!</v>
      </c>
      <c r="G23" s="1"/>
    </row>
    <row r="24" spans="1:7" ht="15">
      <c r="A24" s="13" t="s">
        <v>49</v>
      </c>
      <c r="B24" s="8">
        <v>11500000</v>
      </c>
      <c r="C24" s="9" t="e">
        <f>+#REF!</f>
        <v>#REF!</v>
      </c>
      <c r="D24" s="300" t="e">
        <f t="shared" si="0"/>
        <v>#REF!</v>
      </c>
      <c r="E24" s="9" t="e">
        <f t="shared" si="1"/>
        <v>#REF!</v>
      </c>
      <c r="F24" s="10" t="e">
        <f>+E24/E62*100</f>
        <v>#REF!</v>
      </c>
      <c r="G24" s="1"/>
    </row>
    <row r="25" spans="1:7" ht="14.25">
      <c r="A25" s="15" t="s">
        <v>28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31</v>
      </c>
      <c r="B27" s="16"/>
      <c r="C27" s="15"/>
      <c r="D27" s="15"/>
      <c r="E27" s="16">
        <f>SUM(E29:E54)</f>
        <v>6362031836</v>
      </c>
      <c r="F27" s="17" t="e">
        <f>SUM(F29:F54)</f>
        <v>#REF!</v>
      </c>
      <c r="G27" s="1"/>
    </row>
    <row r="28" spans="1:7" ht="15">
      <c r="A28" s="11"/>
      <c r="B28" s="9"/>
      <c r="C28" s="11"/>
      <c r="D28" s="11"/>
      <c r="E28" s="9"/>
      <c r="F28" s="12"/>
      <c r="G28" s="1"/>
    </row>
    <row r="29" spans="1:7" ht="15">
      <c r="A29" s="26" t="s">
        <v>50</v>
      </c>
      <c r="B29" s="5"/>
      <c r="C29" s="18">
        <f>+'Inversión total en programas'!B29</f>
        <v>145800000</v>
      </c>
      <c r="D29" s="18"/>
      <c r="E29" s="6">
        <f>+C29</f>
        <v>145800000</v>
      </c>
      <c r="F29" s="10" t="e">
        <f>+E29/E62*100</f>
        <v>#REF!</v>
      </c>
      <c r="G29" s="1"/>
    </row>
    <row r="30" spans="1:7" ht="15">
      <c r="A30" s="25" t="s">
        <v>54</v>
      </c>
      <c r="B30" s="27"/>
      <c r="C30" s="18">
        <f>+'Inversión total en programas'!B36</f>
        <v>3826475436</v>
      </c>
      <c r="D30" s="18"/>
      <c r="E30" s="6">
        <f>+C30</f>
        <v>3826475436</v>
      </c>
      <c r="F30" s="10" t="e">
        <f>+E30/E62*100</f>
        <v>#REF!</v>
      </c>
      <c r="G30" s="1"/>
    </row>
    <row r="31" spans="1:7" ht="15">
      <c r="A31" s="26" t="s">
        <v>32</v>
      </c>
      <c r="B31" s="5"/>
      <c r="C31" s="11"/>
      <c r="D31" s="11"/>
      <c r="E31" s="6">
        <f>SUM(C32:C35)</f>
        <v>412000000</v>
      </c>
      <c r="F31" s="19" t="e">
        <f>+E31/E62*100</f>
        <v>#REF!</v>
      </c>
      <c r="G31" s="1"/>
    </row>
    <row r="32" spans="1:7" ht="13.5" customHeight="1">
      <c r="A32" s="28" t="s">
        <v>73</v>
      </c>
      <c r="B32" s="8"/>
      <c r="C32" s="18">
        <f>+'Inversión total en programas'!B47</f>
        <v>50000000</v>
      </c>
      <c r="D32" s="18"/>
      <c r="E32" s="6"/>
      <c r="F32" s="12"/>
      <c r="G32" s="1"/>
    </row>
    <row r="33" spans="1:7" ht="15">
      <c r="A33" s="28" t="s">
        <v>192</v>
      </c>
      <c r="B33" s="8"/>
      <c r="C33" s="18">
        <f>+'Inversión total en programas'!B48</f>
        <v>86000000</v>
      </c>
      <c r="D33" s="18"/>
      <c r="E33" s="6"/>
      <c r="F33" s="12"/>
      <c r="G33" s="1"/>
    </row>
    <row r="34" spans="1:7" ht="15">
      <c r="A34" s="28" t="s">
        <v>191</v>
      </c>
      <c r="B34" s="8"/>
      <c r="C34" s="18">
        <f>+'Inversión total en programas'!B49</f>
        <v>236000000</v>
      </c>
      <c r="D34" s="18"/>
      <c r="E34" s="6"/>
      <c r="F34" s="12"/>
      <c r="G34" s="1"/>
    </row>
    <row r="35" spans="1:7" ht="15">
      <c r="A35" s="29" t="s">
        <v>75</v>
      </c>
      <c r="B35" s="30"/>
      <c r="C35" s="18">
        <v>40000000</v>
      </c>
      <c r="D35" s="18"/>
      <c r="E35" s="6"/>
      <c r="F35" s="12"/>
      <c r="G35" s="1"/>
    </row>
    <row r="36" spans="1:7" ht="15">
      <c r="A36" s="25" t="s">
        <v>243</v>
      </c>
      <c r="B36" s="27"/>
      <c r="C36" s="18"/>
      <c r="D36" s="18"/>
      <c r="E36" s="6">
        <f>SUM(C37:C40)</f>
        <v>769208400</v>
      </c>
      <c r="F36" s="10" t="e">
        <f>+E36/E62*100</f>
        <v>#REF!</v>
      </c>
      <c r="G36" s="1"/>
    </row>
    <row r="37" spans="1:7" ht="15">
      <c r="A37" s="29" t="s">
        <v>34</v>
      </c>
      <c r="B37" s="30"/>
      <c r="C37" s="18">
        <f>+'Inversión total en programas'!B56</f>
        <v>170000000</v>
      </c>
      <c r="D37" s="18"/>
      <c r="E37" s="9"/>
      <c r="F37" s="12"/>
      <c r="G37" s="1"/>
    </row>
    <row r="38" spans="1:7" ht="15">
      <c r="A38" s="29" t="s">
        <v>168</v>
      </c>
      <c r="B38" s="30"/>
      <c r="C38" s="18">
        <f>+'Inversión total en programas'!B57</f>
        <v>260000000</v>
      </c>
      <c r="D38" s="18"/>
      <c r="E38" s="9"/>
      <c r="F38" s="12"/>
      <c r="G38" s="1"/>
    </row>
    <row r="39" spans="1:7" ht="15">
      <c r="A39" s="29" t="s">
        <v>246</v>
      </c>
      <c r="B39" s="30"/>
      <c r="C39" s="18">
        <f>+'Inversión total en programas'!B58</f>
        <v>289208400</v>
      </c>
      <c r="D39" s="18"/>
      <c r="E39" s="9"/>
      <c r="F39" s="12"/>
      <c r="G39" s="1"/>
    </row>
    <row r="40" spans="1:7" ht="15">
      <c r="A40" s="29" t="s">
        <v>175</v>
      </c>
      <c r="B40" s="30"/>
      <c r="C40" s="18">
        <f>+'Inversión total en programas'!B59</f>
        <v>50000000</v>
      </c>
      <c r="D40" s="18"/>
      <c r="E40" s="9"/>
      <c r="F40" s="12"/>
      <c r="G40" s="1"/>
    </row>
    <row r="41" spans="1:7" ht="15">
      <c r="A41" s="25" t="s">
        <v>26</v>
      </c>
      <c r="B41" s="27"/>
      <c r="C41" s="18">
        <f>+'Inversión total en programas'!B66</f>
        <v>340000000</v>
      </c>
      <c r="D41" s="18"/>
      <c r="E41" s="6">
        <f>+C41</f>
        <v>340000000</v>
      </c>
      <c r="F41" s="10" t="e">
        <f>+E41/E62*100</f>
        <v>#REF!</v>
      </c>
      <c r="G41" s="1"/>
    </row>
    <row r="42" spans="1:7" ht="15">
      <c r="A42" s="25" t="s">
        <v>178</v>
      </c>
      <c r="B42" s="27"/>
      <c r="C42" s="18"/>
      <c r="D42" s="18"/>
      <c r="E42" s="6">
        <f>SUM(C43:C46)</f>
        <v>343548000</v>
      </c>
      <c r="F42" s="10" t="e">
        <f>+E42/E62*100</f>
        <v>#REF!</v>
      </c>
      <c r="G42" s="1"/>
    </row>
    <row r="43" spans="1:7" ht="15">
      <c r="A43" s="29" t="s">
        <v>181</v>
      </c>
      <c r="B43" s="30"/>
      <c r="C43" s="18">
        <v>129000000</v>
      </c>
      <c r="D43" s="18"/>
      <c r="E43" s="9"/>
      <c r="F43" s="12"/>
      <c r="G43" s="1"/>
    </row>
    <row r="44" spans="1:7" ht="15">
      <c r="A44" s="29" t="s">
        <v>193</v>
      </c>
      <c r="B44" s="30"/>
      <c r="C44" s="18">
        <f>+'Inversión total en programas'!B75</f>
        <v>74148000</v>
      </c>
      <c r="D44" s="18"/>
      <c r="E44" s="9"/>
      <c r="F44" s="12"/>
      <c r="G44" s="1"/>
    </row>
    <row r="45" spans="1:7" ht="15">
      <c r="A45" s="29" t="s">
        <v>57</v>
      </c>
      <c r="B45" s="30"/>
      <c r="C45" s="18">
        <f>+'Inversión total en programas'!B76</f>
        <v>130400000</v>
      </c>
      <c r="D45" s="18"/>
      <c r="E45" s="9"/>
      <c r="F45" s="12"/>
      <c r="G45" s="1"/>
    </row>
    <row r="46" spans="1:7" ht="15">
      <c r="A46" s="29" t="s">
        <v>179</v>
      </c>
      <c r="B46" s="30"/>
      <c r="C46" s="18">
        <f>+'Inversión total en programas'!B77</f>
        <v>10000000</v>
      </c>
      <c r="D46" s="18"/>
      <c r="E46" s="9"/>
      <c r="F46" s="12"/>
      <c r="G46" s="1"/>
    </row>
    <row r="47" spans="1:7" ht="15">
      <c r="A47" s="25" t="s">
        <v>27</v>
      </c>
      <c r="B47" s="27"/>
      <c r="C47" s="18"/>
      <c r="D47" s="18"/>
      <c r="E47" s="6">
        <f>SUM(C48:C52)</f>
        <v>452000000</v>
      </c>
      <c r="F47" s="10" t="e">
        <f>+E47/E62*100</f>
        <v>#REF!</v>
      </c>
      <c r="G47" s="1"/>
    </row>
    <row r="48" spans="1:7" ht="15">
      <c r="A48" s="29" t="s">
        <v>183</v>
      </c>
      <c r="B48" s="30"/>
      <c r="C48" s="18">
        <f>+'Inversión total en programas'!B83</f>
        <v>220000000</v>
      </c>
      <c r="D48" s="18"/>
      <c r="E48" s="9"/>
      <c r="F48" s="12"/>
      <c r="G48" s="1"/>
    </row>
    <row r="49" spans="1:7" ht="15">
      <c r="A49" s="29" t="s">
        <v>59</v>
      </c>
      <c r="B49" s="30"/>
      <c r="C49" s="18">
        <f>+'Inversión total en programas'!B84</f>
        <v>55000000</v>
      </c>
      <c r="D49" s="18"/>
      <c r="E49" s="9"/>
      <c r="F49" s="12"/>
      <c r="G49" s="1"/>
    </row>
    <row r="50" spans="1:7" ht="15">
      <c r="A50" s="29" t="s">
        <v>60</v>
      </c>
      <c r="B50" s="30"/>
      <c r="C50" s="18">
        <f>+'Inversión total en programas'!B85</f>
        <v>30000000</v>
      </c>
      <c r="D50" s="18"/>
      <c r="E50" s="9"/>
      <c r="F50" s="12"/>
      <c r="G50" s="1"/>
    </row>
    <row r="51" spans="1:7" ht="15">
      <c r="A51" s="29" t="s">
        <v>184</v>
      </c>
      <c r="B51" s="30"/>
      <c r="C51" s="18">
        <f>+'Inversión total en programas'!B86</f>
        <v>117000000</v>
      </c>
      <c r="D51" s="18"/>
      <c r="E51" s="9"/>
      <c r="F51" s="12"/>
      <c r="G51" s="1"/>
    </row>
    <row r="52" spans="1:7" ht="15">
      <c r="A52" s="372" t="s">
        <v>189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188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171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239</v>
      </c>
      <c r="B58" s="27"/>
      <c r="C58" s="18"/>
      <c r="D58" s="18"/>
      <c r="E58" s="6" t="e">
        <f>+#REF!</f>
        <v>#REF!</v>
      </c>
      <c r="F58" s="7"/>
      <c r="G58" s="1"/>
    </row>
    <row r="59" spans="1:7" ht="15">
      <c r="A59" s="225" t="s">
        <v>226</v>
      </c>
      <c r="B59" s="27"/>
      <c r="C59" s="18" t="e">
        <f>+#REF!</f>
        <v>#REF!</v>
      </c>
      <c r="D59" s="18"/>
      <c r="E59" s="6"/>
      <c r="F59" s="7"/>
      <c r="G59" s="1"/>
    </row>
    <row r="60" spans="1:7" ht="15">
      <c r="A60" s="226" t="s">
        <v>217</v>
      </c>
      <c r="B60" s="27"/>
      <c r="C60" s="18" t="e">
        <f>+#REF!</f>
        <v>#REF!</v>
      </c>
      <c r="D60" s="18"/>
      <c r="E60" s="6"/>
      <c r="F60" s="7"/>
      <c r="G60" s="1"/>
    </row>
    <row r="61" spans="1:7" ht="15">
      <c r="A61" s="11"/>
      <c r="B61" s="9"/>
      <c r="C61" s="11"/>
      <c r="D61" s="11"/>
      <c r="E61" s="11"/>
      <c r="F61" s="12"/>
      <c r="G61" s="1"/>
    </row>
    <row r="62" spans="1:7" ht="15">
      <c r="A62" s="15" t="s">
        <v>38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HC3:HG3"/>
    <mergeCell ref="HI3:HM3"/>
    <mergeCell ref="EU3:EY3"/>
    <mergeCell ref="FA3:FE3"/>
    <mergeCell ref="FS3:FW3"/>
    <mergeCell ref="FY3:GC3"/>
    <mergeCell ref="GQ3:GU3"/>
    <mergeCell ref="GW3:HA3"/>
    <mergeCell ref="GE3:GI3"/>
    <mergeCell ref="GK3:GO3"/>
    <mergeCell ref="DK3:DO3"/>
    <mergeCell ref="DQ3:DU3"/>
    <mergeCell ref="FG3:FK3"/>
    <mergeCell ref="FM3:FQ3"/>
    <mergeCell ref="IM3:IQ3"/>
    <mergeCell ref="IS3:IV3"/>
    <mergeCell ref="HO3:HS3"/>
    <mergeCell ref="HU3:HY3"/>
    <mergeCell ref="IA3:IE3"/>
    <mergeCell ref="IG3:IK3"/>
    <mergeCell ref="CA3:CE3"/>
    <mergeCell ref="CG3:CK3"/>
    <mergeCell ref="EI3:EM3"/>
    <mergeCell ref="EO3:ES3"/>
    <mergeCell ref="CY3:DC3"/>
    <mergeCell ref="DE3:DI3"/>
    <mergeCell ref="DW3:EA3"/>
    <mergeCell ref="EC3:EG3"/>
    <mergeCell ref="CM3:CQ3"/>
    <mergeCell ref="CS3:CW3"/>
    <mergeCell ref="A4:E4"/>
    <mergeCell ref="A3:E3"/>
    <mergeCell ref="G3:K3"/>
    <mergeCell ref="M3:Q3"/>
    <mergeCell ref="BO3:BS3"/>
    <mergeCell ref="BU3:BY3"/>
    <mergeCell ref="BC3:BG3"/>
    <mergeCell ref="BI3:BM3"/>
    <mergeCell ref="A1:E1"/>
    <mergeCell ref="A2:E2"/>
    <mergeCell ref="AQ3:AU3"/>
    <mergeCell ref="AW3:BA3"/>
    <mergeCell ref="S3:W3"/>
    <mergeCell ref="Y3:AC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10.xml><?xml version="1.0" encoding="utf-8"?>
<worksheet xmlns="http://schemas.openxmlformats.org/spreadsheetml/2006/main" xmlns:r="http://schemas.openxmlformats.org/officeDocument/2006/relationships">
  <dimension ref="A1:D77"/>
  <sheetViews>
    <sheetView zoomScalePageLayoutView="0" workbookViewId="0" topLeftCell="A1">
      <selection activeCell="F18" sqref="F18"/>
    </sheetView>
  </sheetViews>
  <sheetFormatPr defaultColWidth="11.421875" defaultRowHeight="12.75"/>
  <cols>
    <col min="1" max="1" width="57.57421875" style="0" bestFit="1" customWidth="1"/>
    <col min="2" max="2" width="16.140625" style="0" bestFit="1" customWidth="1"/>
    <col min="3" max="3" width="14.8515625" style="0" bestFit="1" customWidth="1"/>
    <col min="4" max="4" width="12.28125" style="0" bestFit="1" customWidth="1"/>
  </cols>
  <sheetData>
    <row r="1" spans="1:3" ht="15.75">
      <c r="A1" s="731" t="s">
        <v>457</v>
      </c>
      <c r="B1" s="731"/>
      <c r="C1" s="731"/>
    </row>
    <row r="2" spans="1:3" ht="12.75">
      <c r="A2" s="376"/>
      <c r="B2" s="376"/>
      <c r="C2" s="376"/>
    </row>
    <row r="3" spans="1:3" ht="12.75">
      <c r="A3" s="677" t="s">
        <v>362</v>
      </c>
      <c r="B3" s="677" t="s">
        <v>458</v>
      </c>
      <c r="C3" s="677" t="s">
        <v>363</v>
      </c>
    </row>
    <row r="4" spans="1:3" ht="12.75">
      <c r="A4" s="678"/>
      <c r="B4" s="678"/>
      <c r="C4" s="678"/>
    </row>
    <row r="5" spans="1:3" ht="12.75">
      <c r="A5" s="679" t="s">
        <v>174</v>
      </c>
      <c r="B5" s="678"/>
      <c r="C5" s="680">
        <f>SUM(B7:B11)</f>
        <v>10619807130.05872</v>
      </c>
    </row>
    <row r="6" spans="1:3" ht="12.75">
      <c r="A6" s="679" t="s">
        <v>320</v>
      </c>
      <c r="B6" s="681"/>
      <c r="C6" s="678"/>
    </row>
    <row r="7" spans="1:3" ht="12.75">
      <c r="A7" s="678" t="s">
        <v>364</v>
      </c>
      <c r="B7" s="682">
        <f>+'Anexo 1 '!AA14</f>
        <v>6376575358</v>
      </c>
      <c r="C7" s="678"/>
    </row>
    <row r="8" spans="1:3" ht="12.75">
      <c r="A8" s="678" t="s">
        <v>365</v>
      </c>
      <c r="B8" s="682">
        <f>+'Anexo 1 '!AA15</f>
        <v>2128492981.75</v>
      </c>
      <c r="C8" s="678"/>
    </row>
    <row r="9" spans="1:3" ht="12.75">
      <c r="A9" s="678" t="s">
        <v>366</v>
      </c>
      <c r="B9" s="682">
        <f>+'Anexo 1 '!AA18</f>
        <v>81088115</v>
      </c>
      <c r="C9" s="678"/>
    </row>
    <row r="10" spans="1:3" ht="12.75">
      <c r="A10" s="678" t="s">
        <v>367</v>
      </c>
      <c r="B10" s="682">
        <f>+'Anexo 1 '!AA19</f>
        <v>25536321</v>
      </c>
      <c r="C10" s="678"/>
    </row>
    <row r="11" spans="1:3" ht="12.75">
      <c r="A11" s="678" t="s">
        <v>368</v>
      </c>
      <c r="B11" s="682">
        <f>+'Anexo 1 '!AA21</f>
        <v>2008114354.3087187</v>
      </c>
      <c r="C11" s="678"/>
    </row>
    <row r="12" spans="1:3" ht="12.75">
      <c r="A12" s="678"/>
      <c r="B12" s="678"/>
      <c r="C12" s="681"/>
    </row>
    <row r="13" spans="1:3" ht="12.75">
      <c r="A13" s="679" t="s">
        <v>326</v>
      </c>
      <c r="B13" s="678"/>
      <c r="C13" s="680">
        <f>SUM(B14:B21)</f>
        <v>5074931738.95</v>
      </c>
    </row>
    <row r="14" spans="1:3" ht="12.75">
      <c r="A14" s="678" t="s">
        <v>327</v>
      </c>
      <c r="B14" s="682">
        <f>+'Anexo 1 '!AA28</f>
        <v>37109411.95</v>
      </c>
      <c r="C14" s="680"/>
    </row>
    <row r="15" spans="1:3" ht="12.75">
      <c r="A15" s="678" t="s">
        <v>328</v>
      </c>
      <c r="B15" s="682">
        <f>+'Anexo 1 '!AA29</f>
        <v>4504759</v>
      </c>
      <c r="C15" s="680"/>
    </row>
    <row r="16" spans="1:3" ht="12.75">
      <c r="A16" s="678" t="s">
        <v>330</v>
      </c>
      <c r="B16" s="682">
        <f>+'Anexo 1 '!AA32</f>
        <v>3894554453</v>
      </c>
      <c r="C16" s="680"/>
    </row>
    <row r="17" spans="1:3" ht="12.75">
      <c r="A17" s="678" t="s">
        <v>331</v>
      </c>
      <c r="B17" s="682">
        <f>+'Anexo 1 '!AA33</f>
        <v>14766594</v>
      </c>
      <c r="C17" s="680"/>
    </row>
    <row r="18" spans="1:3" ht="12.75">
      <c r="A18" s="678" t="s">
        <v>332</v>
      </c>
      <c r="B18" s="682">
        <f>+'Anexo 1 '!AA34</f>
        <v>11006462</v>
      </c>
      <c r="C18" s="680"/>
    </row>
    <row r="19" spans="1:3" ht="12.75">
      <c r="A19" s="678" t="s">
        <v>333</v>
      </c>
      <c r="B19" s="682">
        <f>+'Anexo 1 '!AA35</f>
        <v>67359505</v>
      </c>
      <c r="C19" s="680"/>
    </row>
    <row r="20" spans="1:3" ht="12.75">
      <c r="A20" s="678" t="s">
        <v>334</v>
      </c>
      <c r="B20" s="682">
        <f>+'Anexo 1 '!AA36</f>
        <v>687726954</v>
      </c>
      <c r="C20" s="680"/>
    </row>
    <row r="21" spans="1:3" ht="12.75">
      <c r="A21" s="678" t="s">
        <v>369</v>
      </c>
      <c r="B21" s="682">
        <f>+'Anexo 1 '!AA37</f>
        <v>357903600</v>
      </c>
      <c r="C21" s="680"/>
    </row>
    <row r="22" spans="1:3" ht="12.75">
      <c r="A22" s="678"/>
      <c r="B22" s="678"/>
      <c r="C22" s="678"/>
    </row>
    <row r="23" spans="1:3" ht="12.75">
      <c r="A23" s="679" t="s">
        <v>370</v>
      </c>
      <c r="B23" s="678"/>
      <c r="C23" s="680">
        <f>SUM(B24:B27)</f>
        <v>14406247668.248001</v>
      </c>
    </row>
    <row r="24" spans="1:3" ht="12.75">
      <c r="A24" s="678" t="s">
        <v>371</v>
      </c>
      <c r="B24" s="682">
        <f>+'Anexo 2'!O20</f>
        <v>2206810178</v>
      </c>
      <c r="C24" s="678"/>
    </row>
    <row r="25" spans="1:3" ht="12.75">
      <c r="A25" s="678" t="s">
        <v>372</v>
      </c>
      <c r="B25" s="682">
        <f>+'Anexo 2'!O36</f>
        <v>749779460.088</v>
      </c>
      <c r="C25" s="678"/>
    </row>
    <row r="26" spans="1:3" ht="12.75">
      <c r="A26" s="678" t="s">
        <v>373</v>
      </c>
      <c r="B26" s="682">
        <f>+'Anexo 2'!O170</f>
        <v>863119710</v>
      </c>
      <c r="C26" s="678"/>
    </row>
    <row r="27" spans="1:3" ht="12.75">
      <c r="A27" s="678" t="s">
        <v>374</v>
      </c>
      <c r="B27" s="682">
        <f>+'Anexo 2'!O39</f>
        <v>10586538320.16</v>
      </c>
      <c r="C27" s="678"/>
    </row>
    <row r="28" spans="1:3" ht="12.75">
      <c r="A28" s="732" t="s">
        <v>460</v>
      </c>
      <c r="B28" s="734"/>
      <c r="C28" s="736">
        <f>+C5+C13-C23</f>
        <v>1288491200.7607193</v>
      </c>
    </row>
    <row r="29" spans="1:3" ht="12.75">
      <c r="A29" s="733"/>
      <c r="B29" s="735"/>
      <c r="C29" s="738"/>
    </row>
    <row r="30" spans="1:3" ht="12.75">
      <c r="A30" s="683"/>
      <c r="B30" s="683"/>
      <c r="C30" s="683"/>
    </row>
    <row r="31" spans="1:3" ht="15.75">
      <c r="A31" s="731" t="s">
        <v>459</v>
      </c>
      <c r="B31" s="731"/>
      <c r="C31" s="683"/>
    </row>
    <row r="32" spans="1:3" ht="12.75">
      <c r="A32" s="677" t="s">
        <v>362</v>
      </c>
      <c r="B32" s="677" t="s">
        <v>458</v>
      </c>
      <c r="C32" s="677" t="s">
        <v>363</v>
      </c>
    </row>
    <row r="33" spans="1:3" ht="12.75">
      <c r="A33" s="678"/>
      <c r="B33" s="678"/>
      <c r="C33" s="678"/>
    </row>
    <row r="34" spans="1:3" ht="12.75">
      <c r="A34" s="679" t="s">
        <v>174</v>
      </c>
      <c r="B34" s="678"/>
      <c r="C34" s="680">
        <f>SUM(B36:B38)</f>
        <v>2492775359.5714283</v>
      </c>
    </row>
    <row r="35" spans="1:3" ht="12.75">
      <c r="A35" s="679" t="s">
        <v>320</v>
      </c>
      <c r="B35" s="678"/>
      <c r="C35" s="678"/>
    </row>
    <row r="36" spans="1:3" ht="12.75">
      <c r="A36" s="678" t="s">
        <v>365</v>
      </c>
      <c r="B36" s="681">
        <f>+'Anexo 1 '!AA15</f>
        <v>2128492981.75</v>
      </c>
      <c r="C36" s="678"/>
    </row>
    <row r="37" spans="1:3" ht="12.75">
      <c r="A37" s="678" t="s">
        <v>368</v>
      </c>
      <c r="B37" s="682">
        <f>+'Anexo 1 '!AA23</f>
        <v>338746056.8214283</v>
      </c>
      <c r="C37" s="678"/>
    </row>
    <row r="38" spans="1:3" ht="12.75">
      <c r="A38" s="678" t="s">
        <v>367</v>
      </c>
      <c r="B38" s="681">
        <f>+'Anexo 1 '!AA19</f>
        <v>25536321</v>
      </c>
      <c r="C38" s="681"/>
    </row>
    <row r="39" spans="1:3" ht="12.75">
      <c r="A39" s="678"/>
      <c r="B39" s="678"/>
      <c r="C39" s="681"/>
    </row>
    <row r="40" spans="1:3" ht="12.75">
      <c r="A40" s="679" t="s">
        <v>326</v>
      </c>
      <c r="B40" s="678"/>
      <c r="C40" s="684">
        <f>SUM(B41:B44)</f>
        <v>4267969274</v>
      </c>
    </row>
    <row r="41" spans="1:3" ht="12.75">
      <c r="A41" s="678" t="s">
        <v>328</v>
      </c>
      <c r="B41" s="681">
        <f>+'Anexo 1 '!AA29</f>
        <v>4504759</v>
      </c>
      <c r="C41" s="684"/>
    </row>
    <row r="42" spans="1:3" ht="12.75">
      <c r="A42" s="678" t="s">
        <v>330</v>
      </c>
      <c r="B42" s="681">
        <f>+'Anexo 1 '!AA32</f>
        <v>3894554453</v>
      </c>
      <c r="C42" s="684"/>
    </row>
    <row r="43" spans="1:3" ht="12.75">
      <c r="A43" s="678" t="s">
        <v>332</v>
      </c>
      <c r="B43" s="681">
        <f>+'Anexo 1 '!AA34</f>
        <v>11006462</v>
      </c>
      <c r="C43" s="684"/>
    </row>
    <row r="44" spans="1:3" ht="12.75">
      <c r="A44" s="678" t="s">
        <v>369</v>
      </c>
      <c r="B44" s="681">
        <f>+'Anexo 1 '!AA37</f>
        <v>357903600</v>
      </c>
      <c r="C44" s="684"/>
    </row>
    <row r="45" spans="1:3" ht="12.75">
      <c r="A45" s="678"/>
      <c r="B45" s="678"/>
      <c r="C45" s="678"/>
    </row>
    <row r="46" spans="1:3" ht="12.75">
      <c r="A46" s="679" t="s">
        <v>370</v>
      </c>
      <c r="B46" s="678"/>
      <c r="C46" s="680">
        <f>SUM(B47:B49)</f>
        <v>5906842329.16</v>
      </c>
    </row>
    <row r="47" spans="1:4" ht="12.75">
      <c r="A47" s="678" t="s">
        <v>371</v>
      </c>
      <c r="B47" s="682">
        <f>+'por áreas'!D20</f>
        <v>858816949</v>
      </c>
      <c r="C47" s="680"/>
      <c r="D47" s="445"/>
    </row>
    <row r="48" spans="1:3" ht="12.75">
      <c r="A48" s="678" t="s">
        <v>372</v>
      </c>
      <c r="B48" s="682">
        <f>+'por áreas'!D36</f>
        <v>269175942.86</v>
      </c>
      <c r="C48" s="680"/>
    </row>
    <row r="49" spans="1:3" ht="12.75">
      <c r="A49" s="678" t="s">
        <v>375</v>
      </c>
      <c r="B49" s="682">
        <f>+'por áreas'!D39</f>
        <v>4778849437.3</v>
      </c>
      <c r="C49" s="678"/>
    </row>
    <row r="50" spans="1:3" ht="12.75">
      <c r="A50" s="732" t="s">
        <v>460</v>
      </c>
      <c r="B50" s="734"/>
      <c r="C50" s="736">
        <f>+C34+C40-C46</f>
        <v>853902304.4114285</v>
      </c>
    </row>
    <row r="51" spans="1:3" ht="12.75">
      <c r="A51" s="733"/>
      <c r="B51" s="735"/>
      <c r="C51" s="737"/>
    </row>
    <row r="52" spans="1:3" ht="12.75">
      <c r="A52" s="426"/>
      <c r="B52" s="426"/>
      <c r="C52" s="683"/>
    </row>
    <row r="53" spans="1:3" ht="15.75">
      <c r="A53" s="731" t="s">
        <v>461</v>
      </c>
      <c r="B53" s="731"/>
      <c r="C53" s="731"/>
    </row>
    <row r="54" spans="1:3" ht="12.75">
      <c r="A54" s="677" t="s">
        <v>362</v>
      </c>
      <c r="B54" s="677" t="s">
        <v>458</v>
      </c>
      <c r="C54" s="678"/>
    </row>
    <row r="55" spans="1:3" ht="12.75">
      <c r="A55" s="678"/>
      <c r="B55" s="678"/>
      <c r="C55" s="678"/>
    </row>
    <row r="56" spans="1:3" ht="12.75">
      <c r="A56" s="679" t="s">
        <v>174</v>
      </c>
      <c r="B56" s="678"/>
      <c r="C56" s="680">
        <f>SUM(B58:B60)</f>
        <v>8127031770.48729</v>
      </c>
    </row>
    <row r="57" spans="1:3" ht="12.75">
      <c r="A57" s="679" t="s">
        <v>320</v>
      </c>
      <c r="B57" s="678"/>
      <c r="C57" s="678"/>
    </row>
    <row r="58" spans="1:3" ht="12.75">
      <c r="A58" s="678" t="s">
        <v>364</v>
      </c>
      <c r="B58" s="681">
        <f>+'Anexo 1 '!AA14</f>
        <v>6376575358</v>
      </c>
      <c r="C58" s="678"/>
    </row>
    <row r="59" spans="1:3" ht="12.75">
      <c r="A59" s="678" t="s">
        <v>368</v>
      </c>
      <c r="B59" s="682">
        <f>+'Anexo 1 '!AA22</f>
        <v>1669368297.4872904</v>
      </c>
      <c r="C59" s="678"/>
    </row>
    <row r="60" spans="1:3" ht="12.75">
      <c r="A60" s="678" t="str">
        <f>+A9</f>
        <v>Cuota de Fomento (vigencias anteriores)</v>
      </c>
      <c r="B60" s="681">
        <f>+'Anexo 1 '!AA18</f>
        <v>81088115</v>
      </c>
      <c r="C60" s="678"/>
    </row>
    <row r="61" spans="1:3" ht="12.75">
      <c r="A61" s="678"/>
      <c r="B61" s="678"/>
      <c r="C61" s="678"/>
    </row>
    <row r="62" spans="1:3" ht="12.75">
      <c r="A62" s="678"/>
      <c r="B62" s="678"/>
      <c r="C62" s="678"/>
    </row>
    <row r="63" spans="1:3" ht="12.75">
      <c r="A63" s="679" t="s">
        <v>326</v>
      </c>
      <c r="B63" s="678"/>
      <c r="C63" s="680">
        <f>SUM(B64:B67)</f>
        <v>806962464.95</v>
      </c>
    </row>
    <row r="64" spans="1:3" ht="12.75">
      <c r="A64" s="678" t="str">
        <f>+A14</f>
        <v>Rendimientos Financieros FNP</v>
      </c>
      <c r="B64" s="682">
        <f>+'Anexo 1 '!AA28</f>
        <v>37109411.95</v>
      </c>
      <c r="C64" s="678"/>
    </row>
    <row r="65" spans="1:3" ht="12.75">
      <c r="A65" s="678" t="str">
        <f>+A17</f>
        <v>Financieros FNP</v>
      </c>
      <c r="B65" s="682">
        <f>+'Anexo 1 '!AA33</f>
        <v>14766594</v>
      </c>
      <c r="C65" s="678"/>
    </row>
    <row r="66" spans="1:3" ht="12.75">
      <c r="A66" s="678" t="str">
        <f>+A19</f>
        <v>Extraordinarios FNP</v>
      </c>
      <c r="B66" s="682">
        <f>+'Anexo 1 '!AA35</f>
        <v>67359505</v>
      </c>
      <c r="C66" s="678"/>
    </row>
    <row r="67" spans="1:3" ht="12.75">
      <c r="A67" s="678" t="str">
        <f>+A20</f>
        <v>Programas y proyectos FNP</v>
      </c>
      <c r="B67" s="685">
        <f>+'Anexo 1 '!AA36</f>
        <v>687726954</v>
      </c>
      <c r="C67" s="678"/>
    </row>
    <row r="68" spans="1:3" ht="12.75">
      <c r="A68" s="678"/>
      <c r="B68" s="678"/>
      <c r="C68" s="678"/>
    </row>
    <row r="69" spans="1:3" ht="12.75">
      <c r="A69" s="679" t="s">
        <v>370</v>
      </c>
      <c r="B69" s="678"/>
      <c r="C69" s="680">
        <f>SUM(B70:B73)</f>
        <v>8499405339.087999</v>
      </c>
    </row>
    <row r="70" spans="1:3" ht="12.75">
      <c r="A70" s="678" t="s">
        <v>371</v>
      </c>
      <c r="B70" s="682">
        <f>+'por áreas'!H20-'por áreas'!D20</f>
        <v>1347993229</v>
      </c>
      <c r="C70" s="678"/>
    </row>
    <row r="71" spans="1:3" ht="12.75">
      <c r="A71" s="678" t="s">
        <v>372</v>
      </c>
      <c r="B71" s="682">
        <f>+'por áreas'!H36-'por áreas'!D36</f>
        <v>480603717.22800004</v>
      </c>
      <c r="C71" s="678"/>
    </row>
    <row r="72" spans="1:3" ht="12.75">
      <c r="A72" s="678" t="s">
        <v>373</v>
      </c>
      <c r="B72" s="682">
        <f>+'Anexo 2'!O170</f>
        <v>863119710</v>
      </c>
      <c r="C72" s="678"/>
    </row>
    <row r="73" spans="1:3" ht="12.75">
      <c r="A73" s="678" t="s">
        <v>374</v>
      </c>
      <c r="B73" s="682">
        <f>+'por áreas'!H39-'por áreas'!D39</f>
        <v>5807688682.86</v>
      </c>
      <c r="C73" s="678"/>
    </row>
    <row r="74" spans="1:3" ht="12.75">
      <c r="A74" s="732" t="s">
        <v>460</v>
      </c>
      <c r="B74" s="734"/>
      <c r="C74" s="736">
        <f>+C56+C63-C69</f>
        <v>434588896.34929085</v>
      </c>
    </row>
    <row r="75" spans="1:4" ht="12.75">
      <c r="A75" s="733"/>
      <c r="B75" s="735"/>
      <c r="C75" s="737"/>
      <c r="D75" s="445"/>
    </row>
    <row r="77" ht="12.75">
      <c r="C77" s="445"/>
    </row>
  </sheetData>
  <sheetProtection/>
  <mergeCells count="12">
    <mergeCell ref="A1:C1"/>
    <mergeCell ref="A28:A29"/>
    <mergeCell ref="B28:B29"/>
    <mergeCell ref="C28:C29"/>
    <mergeCell ref="B50:B51"/>
    <mergeCell ref="C50:C51"/>
    <mergeCell ref="A53:C53"/>
    <mergeCell ref="A74:A75"/>
    <mergeCell ref="B74:B75"/>
    <mergeCell ref="C74:C75"/>
    <mergeCell ref="A31:B31"/>
    <mergeCell ref="A50:A5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55</v>
      </c>
      <c r="C1" s="240"/>
      <c r="D1" s="240"/>
      <c r="E1" s="240"/>
      <c r="F1" s="241"/>
    </row>
    <row r="2" spans="2:6" ht="12.75">
      <c r="B2" s="239" t="s">
        <v>248</v>
      </c>
      <c r="C2" s="240"/>
      <c r="D2" s="240"/>
      <c r="E2" s="240"/>
      <c r="F2" s="241"/>
    </row>
    <row r="3" spans="2:6" ht="12.75">
      <c r="B3" s="239" t="s">
        <v>249</v>
      </c>
      <c r="C3" s="240"/>
      <c r="D3" s="240"/>
      <c r="E3" s="240"/>
      <c r="F3" s="241"/>
    </row>
    <row r="4" spans="2:10" s="247" customFormat="1" ht="17.25" customHeight="1" thickBot="1">
      <c r="B4" s="242"/>
      <c r="C4" s="243"/>
      <c r="D4" s="243"/>
      <c r="E4" s="243"/>
      <c r="F4" s="244"/>
      <c r="G4" s="245"/>
      <c r="H4" s="246"/>
      <c r="I4" s="246"/>
      <c r="J4" s="246"/>
    </row>
    <row r="5" spans="2:7" ht="13.5" thickBot="1">
      <c r="B5" s="308"/>
      <c r="C5" s="302" t="s">
        <v>223</v>
      </c>
      <c r="D5" s="303"/>
      <c r="E5" s="304"/>
      <c r="F5" s="248"/>
      <c r="G5" s="357">
        <v>2004</v>
      </c>
    </row>
    <row r="6" spans="2:7" ht="12.75">
      <c r="B6" s="249" t="s">
        <v>29</v>
      </c>
      <c r="C6" s="250" t="s">
        <v>207</v>
      </c>
      <c r="D6" s="250" t="s">
        <v>208</v>
      </c>
      <c r="E6" s="250" t="s">
        <v>56</v>
      </c>
      <c r="F6" s="251" t="s">
        <v>172</v>
      </c>
      <c r="G6" s="355" t="s">
        <v>166</v>
      </c>
    </row>
    <row r="7" spans="2:7" ht="12.75">
      <c r="B7" s="249"/>
      <c r="C7" s="252" t="s">
        <v>201</v>
      </c>
      <c r="D7" s="252" t="s">
        <v>209</v>
      </c>
      <c r="E7" s="252" t="s">
        <v>223</v>
      </c>
      <c r="F7" s="253" t="s">
        <v>202</v>
      </c>
      <c r="G7" s="358" t="s">
        <v>165</v>
      </c>
    </row>
    <row r="8" spans="2:7" ht="13.5" thickBot="1">
      <c r="B8" s="254"/>
      <c r="C8" s="255"/>
      <c r="D8" s="255"/>
      <c r="E8" s="255"/>
      <c r="F8" s="254"/>
      <c r="G8" s="356"/>
    </row>
    <row r="9" spans="2:7" ht="12.75">
      <c r="B9" s="309" t="s">
        <v>19</v>
      </c>
      <c r="C9" s="310" t="e">
        <f>SUM(C10:C10)</f>
        <v>#REF!</v>
      </c>
      <c r="D9" s="310"/>
      <c r="E9" s="310" t="e">
        <f>SUM(E10:E10)</f>
        <v>#REF!</v>
      </c>
      <c r="F9" s="311" t="e">
        <f>+E9/E113</f>
        <v>#REF!</v>
      </c>
      <c r="G9" s="359"/>
    </row>
    <row r="10" spans="2:7" ht="12.75">
      <c r="B10" s="313" t="s">
        <v>62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21</v>
      </c>
      <c r="C12" s="318">
        <f>SUM(C13:C26)</f>
        <v>304667803.38</v>
      </c>
      <c r="D12" s="318"/>
      <c r="E12" s="318">
        <f aca="true" t="shared" si="0" ref="E12:E26">SUM(C12:D12)</f>
        <v>304667803.38</v>
      </c>
      <c r="F12" s="319" t="e">
        <f>+E12/E113</f>
        <v>#REF!</v>
      </c>
      <c r="G12" s="354"/>
    </row>
    <row r="13" spans="2:7" ht="12.75">
      <c r="B13" s="313" t="s">
        <v>41</v>
      </c>
      <c r="C13" s="314">
        <f>+'Inversión total en programas'!B10</f>
        <v>21500000</v>
      </c>
      <c r="D13" s="314"/>
      <c r="E13" s="314">
        <f t="shared" si="0"/>
        <v>21500000</v>
      </c>
      <c r="F13" s="315" t="e">
        <f>+E13/E113</f>
        <v>#REF!</v>
      </c>
      <c r="G13" s="354"/>
    </row>
    <row r="14" spans="2:7" ht="12.75">
      <c r="B14" s="313" t="s">
        <v>42</v>
      </c>
      <c r="C14" s="314">
        <f>+'Inversión total en programas'!B11</f>
        <v>5924000</v>
      </c>
      <c r="D14" s="314"/>
      <c r="E14" s="314">
        <f t="shared" si="0"/>
        <v>5924000</v>
      </c>
      <c r="F14" s="315" t="e">
        <f>+E14/E113</f>
        <v>#REF!</v>
      </c>
      <c r="G14" s="354"/>
    </row>
    <row r="15" spans="2:7" ht="12.75">
      <c r="B15" s="313" t="s">
        <v>43</v>
      </c>
      <c r="C15" s="314">
        <f>+'Inversión total en programas'!B12</f>
        <v>15000000</v>
      </c>
      <c r="D15" s="314"/>
      <c r="E15" s="314">
        <f t="shared" si="0"/>
        <v>15000000</v>
      </c>
      <c r="F15" s="315" t="e">
        <f>+E15/E113</f>
        <v>#REF!</v>
      </c>
      <c r="G15" s="354"/>
    </row>
    <row r="16" spans="2:7" ht="12.75">
      <c r="B16" s="313" t="s">
        <v>22</v>
      </c>
      <c r="C16" s="314">
        <f>+'Inversión total en programas'!B13</f>
        <v>16571515</v>
      </c>
      <c r="D16" s="314"/>
      <c r="E16" s="314">
        <f t="shared" si="0"/>
        <v>16571515</v>
      </c>
      <c r="F16" s="315" t="e">
        <f>+E16/E113</f>
        <v>#REF!</v>
      </c>
      <c r="G16" s="354"/>
    </row>
    <row r="17" spans="2:7" ht="12.75">
      <c r="B17" s="313" t="s">
        <v>44</v>
      </c>
      <c r="C17" s="314">
        <f>+'Inversión total en programas'!B14</f>
        <v>33250000</v>
      </c>
      <c r="D17" s="314"/>
      <c r="E17" s="314">
        <f t="shared" si="0"/>
        <v>33250000</v>
      </c>
      <c r="F17" s="315" t="e">
        <f>+E17/E113</f>
        <v>#REF!</v>
      </c>
      <c r="G17" s="354"/>
    </row>
    <row r="18" spans="2:7" ht="12.75">
      <c r="B18" s="313" t="s">
        <v>23</v>
      </c>
      <c r="C18" s="314">
        <f>+'Inversión total en programas'!B15</f>
        <v>30729600</v>
      </c>
      <c r="D18" s="314"/>
      <c r="E18" s="314">
        <f t="shared" si="0"/>
        <v>30729600</v>
      </c>
      <c r="F18" s="315" t="e">
        <f>+E18/E113</f>
        <v>#REF!</v>
      </c>
      <c r="G18" s="354"/>
    </row>
    <row r="19" spans="2:7" ht="12.75">
      <c r="B19" s="313" t="s">
        <v>210</v>
      </c>
      <c r="C19" s="314">
        <f>+'Inversión total en programas'!B16</f>
        <v>8900000</v>
      </c>
      <c r="D19" s="314"/>
      <c r="E19" s="314">
        <f t="shared" si="0"/>
        <v>8900000</v>
      </c>
      <c r="F19" s="315" t="e">
        <f>+E19/E113</f>
        <v>#REF!</v>
      </c>
      <c r="G19" s="354"/>
    </row>
    <row r="20" spans="2:7" ht="12.75">
      <c r="B20" s="313" t="s">
        <v>195</v>
      </c>
      <c r="C20" s="314">
        <f>+'Inversión total en programas'!B17</f>
        <v>20000000</v>
      </c>
      <c r="D20" s="314"/>
      <c r="E20" s="314">
        <f t="shared" si="0"/>
        <v>20000000</v>
      </c>
      <c r="F20" s="315" t="e">
        <f>+E20/E113</f>
        <v>#REF!</v>
      </c>
      <c r="G20" s="360"/>
    </row>
    <row r="21" spans="2:7" ht="12.75">
      <c r="B21" s="313" t="s">
        <v>24</v>
      </c>
      <c r="C21" s="314">
        <f>+'Inversión total en programas'!B18</f>
        <v>42250000</v>
      </c>
      <c r="D21" s="314"/>
      <c r="E21" s="314">
        <f t="shared" si="0"/>
        <v>42250000</v>
      </c>
      <c r="F21" s="315" t="e">
        <f>+E21/E113</f>
        <v>#REF!</v>
      </c>
      <c r="G21" s="360"/>
    </row>
    <row r="22" spans="2:7" ht="12.75">
      <c r="B22" s="313" t="s">
        <v>40</v>
      </c>
      <c r="C22" s="314">
        <f>+'Inversión total en programas'!B19</f>
        <v>3032800</v>
      </c>
      <c r="D22" s="314"/>
      <c r="E22" s="314">
        <f t="shared" si="0"/>
        <v>3032800</v>
      </c>
      <c r="F22" s="315" t="e">
        <f>+E22/E113</f>
        <v>#REF!</v>
      </c>
      <c r="G22" s="360"/>
    </row>
    <row r="23" spans="2:7" ht="12.75">
      <c r="B23" s="313" t="s">
        <v>46</v>
      </c>
      <c r="C23" s="314">
        <f>+'Inversión total en programas'!B20</f>
        <v>26833000</v>
      </c>
      <c r="D23" s="314"/>
      <c r="E23" s="314">
        <f t="shared" si="0"/>
        <v>26833000</v>
      </c>
      <c r="F23" s="315" t="e">
        <f>+E23/E113</f>
        <v>#REF!</v>
      </c>
      <c r="G23" s="360"/>
    </row>
    <row r="24" spans="2:7" ht="12.75">
      <c r="B24" s="313" t="s">
        <v>47</v>
      </c>
      <c r="C24" s="314">
        <f>+'Inversión total en programas'!B21</f>
        <v>8900000</v>
      </c>
      <c r="D24" s="314"/>
      <c r="E24" s="314">
        <f t="shared" si="0"/>
        <v>8900000</v>
      </c>
      <c r="F24" s="315" t="e">
        <f>+E24/E113</f>
        <v>#REF!</v>
      </c>
      <c r="G24" s="360"/>
    </row>
    <row r="25" spans="2:7" ht="12.75">
      <c r="B25" s="313" t="s">
        <v>48</v>
      </c>
      <c r="C25" s="314">
        <f>+'Inversión total en programas'!B22</f>
        <v>60000000</v>
      </c>
      <c r="D25" s="314"/>
      <c r="E25" s="314">
        <f t="shared" si="0"/>
        <v>60000000</v>
      </c>
      <c r="F25" s="315" t="e">
        <f>+E25/E113</f>
        <v>#REF!</v>
      </c>
      <c r="G25" s="360"/>
    </row>
    <row r="26" spans="2:7" ht="12.75">
      <c r="B26" s="313" t="s">
        <v>211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31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50</v>
      </c>
      <c r="C30" s="318"/>
      <c r="D30" s="318" t="e">
        <f>+D31+D35</f>
        <v>#REF!</v>
      </c>
      <c r="E30" s="318" t="e">
        <f>+D31+D35</f>
        <v>#REF!</v>
      </c>
      <c r="F30" s="319" t="e">
        <f>+E30/E113</f>
        <v>#REF!</v>
      </c>
      <c r="G30" s="361" t="e">
        <f>+G31+G35</f>
        <v>#REF!</v>
      </c>
    </row>
    <row r="31" spans="2:7" ht="12.75">
      <c r="B31" s="317" t="s">
        <v>63</v>
      </c>
      <c r="C31" s="318"/>
      <c r="D31" s="314">
        <f>+'Inversión total en programas'!B29</f>
        <v>145800000</v>
      </c>
      <c r="E31" s="318"/>
      <c r="F31" s="315" t="e">
        <f>+D31/E113</f>
        <v>#REF!</v>
      </c>
      <c r="G31" s="360">
        <v>132079041</v>
      </c>
    </row>
    <row r="32" spans="2:7" ht="12.75">
      <c r="B32" s="313" t="s">
        <v>64</v>
      </c>
      <c r="C32" s="318"/>
      <c r="D32" s="314" t="e">
        <f>+'Inversión total en programas'!B30</f>
        <v>#REF!</v>
      </c>
      <c r="E32" s="318"/>
      <c r="F32" s="315" t="e">
        <f>+D32/E113</f>
        <v>#REF!</v>
      </c>
      <c r="G32" s="360" t="e">
        <f>+#REF!</f>
        <v>#REF!</v>
      </c>
    </row>
    <row r="33" spans="2:7" ht="12.75">
      <c r="B33" s="313" t="s">
        <v>65</v>
      </c>
      <c r="C33" s="318"/>
      <c r="D33" s="314" t="e">
        <f>+'Inversión total en programas'!B31</f>
        <v>#REF!</v>
      </c>
      <c r="E33" s="318"/>
      <c r="F33" s="315" t="e">
        <f>+D33/E113</f>
        <v>#REF!</v>
      </c>
      <c r="G33" s="360" t="e">
        <f>+#REF!</f>
        <v>#REF!</v>
      </c>
    </row>
    <row r="34" spans="2:7" ht="12.75">
      <c r="B34" s="313" t="s">
        <v>212</v>
      </c>
      <c r="C34" s="318"/>
      <c r="D34" s="314" t="e">
        <f>+'Inversión total en programas'!B32</f>
        <v>#REF!</v>
      </c>
      <c r="E34" s="318"/>
      <c r="F34" s="315" t="e">
        <f>+D34/E113</f>
        <v>#REF!</v>
      </c>
      <c r="G34" s="360" t="e">
        <f>+#REF!</f>
        <v>#REF!</v>
      </c>
    </row>
    <row r="35" spans="2:7" ht="12.75">
      <c r="B35" s="317" t="s">
        <v>67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54</v>
      </c>
      <c r="C37" s="318"/>
      <c r="D37" s="318" t="e">
        <f>+D38+D45</f>
        <v>#REF!</v>
      </c>
      <c r="E37" s="318" t="e">
        <f>+D38+D45</f>
        <v>#REF!</v>
      </c>
      <c r="F37" s="319" t="e">
        <f>+E37/E113</f>
        <v>#REF!</v>
      </c>
      <c r="G37" s="361" t="e">
        <f>+G38+G45</f>
        <v>#REF!</v>
      </c>
    </row>
    <row r="38" spans="2:7" ht="12.75">
      <c r="B38" s="320" t="s">
        <v>63</v>
      </c>
      <c r="C38" s="321"/>
      <c r="D38" s="314">
        <f>+'Inversión total en programas'!B36</f>
        <v>3826475436</v>
      </c>
      <c r="E38" s="318"/>
      <c r="F38" s="315" t="e">
        <f>+D38/E113</f>
        <v>#REF!</v>
      </c>
      <c r="G38" s="360">
        <v>3249918761</v>
      </c>
    </row>
    <row r="39" spans="2:7" ht="12.75">
      <c r="B39" s="322" t="s">
        <v>68</v>
      </c>
      <c r="C39" s="321"/>
      <c r="D39" s="314" t="e">
        <f>+'Inversión total en programas'!B37</f>
        <v>#REF!</v>
      </c>
      <c r="E39" s="318"/>
      <c r="F39" s="315" t="e">
        <f>+D39/E113</f>
        <v>#REF!</v>
      </c>
      <c r="G39" s="360" t="e">
        <f>+#REF!</f>
        <v>#REF!</v>
      </c>
    </row>
    <row r="40" spans="2:7" ht="12.75">
      <c r="B40" s="322" t="s">
        <v>64</v>
      </c>
      <c r="C40" s="321"/>
      <c r="D40" s="314" t="e">
        <f>+'Inversión total en programas'!B38</f>
        <v>#REF!</v>
      </c>
      <c r="E40" s="318"/>
      <c r="F40" s="315" t="e">
        <f>+D40/E113</f>
        <v>#REF!</v>
      </c>
      <c r="G40" s="360"/>
    </row>
    <row r="41" spans="2:7" ht="12.75">
      <c r="B41" s="322" t="s">
        <v>69</v>
      </c>
      <c r="C41" s="321"/>
      <c r="D41" s="314" t="e">
        <f>+'Inversión total en programas'!B39</f>
        <v>#REF!</v>
      </c>
      <c r="E41" s="318"/>
      <c r="F41" s="315" t="e">
        <f>+D41/E113</f>
        <v>#REF!</v>
      </c>
      <c r="G41" s="360" t="e">
        <f>+#REF!/2</f>
        <v>#REF!</v>
      </c>
    </row>
    <row r="42" spans="2:7" ht="12.75">
      <c r="B42" s="322" t="s">
        <v>70</v>
      </c>
      <c r="C42" s="321"/>
      <c r="D42" s="314" t="e">
        <f>+'Inversión total en programas'!B40</f>
        <v>#REF!</v>
      </c>
      <c r="E42" s="318"/>
      <c r="F42" s="315" t="e">
        <f>+D42/E113</f>
        <v>#REF!</v>
      </c>
      <c r="G42" s="360">
        <v>13976544</v>
      </c>
    </row>
    <row r="43" spans="2:7" ht="12.75">
      <c r="B43" s="322" t="s">
        <v>213</v>
      </c>
      <c r="C43" s="321"/>
      <c r="D43" s="314" t="e">
        <f>+'Inversión total en programas'!B41</f>
        <v>#REF!</v>
      </c>
      <c r="E43" s="318"/>
      <c r="F43" s="315" t="e">
        <f>+D43/E113</f>
        <v>#REF!</v>
      </c>
      <c r="G43" s="360" t="e">
        <f>+#REF!</f>
        <v>#REF!</v>
      </c>
    </row>
    <row r="44" spans="2:7" ht="12.75">
      <c r="B44" s="322" t="s">
        <v>72</v>
      </c>
      <c r="C44" s="321"/>
      <c r="D44" s="314" t="e">
        <f>+'Inversión total en programas'!B42</f>
        <v>#REF!</v>
      </c>
      <c r="E44" s="318"/>
      <c r="F44" s="315" t="e">
        <f>+D44/E113</f>
        <v>#REF!</v>
      </c>
      <c r="G44" s="360" t="e">
        <f>+#REF!</f>
        <v>#REF!</v>
      </c>
    </row>
    <row r="45" spans="2:7" ht="12.75">
      <c r="B45" s="320" t="s">
        <v>67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32</v>
      </c>
      <c r="C47" s="321"/>
      <c r="D47" s="318" t="e">
        <f>+D48+D54</f>
        <v>#REF!</v>
      </c>
      <c r="E47" s="318" t="e">
        <f>+D48+D54</f>
        <v>#REF!</v>
      </c>
      <c r="F47" s="319" t="e">
        <f>+E47/E113</f>
        <v>#REF!</v>
      </c>
      <c r="G47" s="360"/>
    </row>
    <row r="48" spans="2:7" ht="12.75">
      <c r="B48" s="320" t="s">
        <v>63</v>
      </c>
      <c r="C48" s="321"/>
      <c r="D48" s="314">
        <f>+'Inversión total en programas'!B46</f>
        <v>372000000</v>
      </c>
      <c r="E48" s="318"/>
      <c r="F48" s="315" t="e">
        <f>+D48/E113</f>
        <v>#REF!</v>
      </c>
      <c r="G48" s="360"/>
    </row>
    <row r="49" spans="2:7" ht="12.75">
      <c r="B49" s="322" t="s">
        <v>73</v>
      </c>
      <c r="C49" s="321"/>
      <c r="D49" s="314">
        <f>+'Inversión total en programas'!B47</f>
        <v>50000000</v>
      </c>
      <c r="E49" s="318"/>
      <c r="F49" s="315" t="e">
        <f>+D49/E113</f>
        <v>#REF!</v>
      </c>
      <c r="G49" s="360"/>
    </row>
    <row r="50" spans="2:7" ht="12.75">
      <c r="B50" s="322" t="s">
        <v>74</v>
      </c>
      <c r="C50" s="321"/>
      <c r="D50" s="314">
        <f>+'Inversión total en programas'!B48</f>
        <v>86000000</v>
      </c>
      <c r="E50" s="318"/>
      <c r="F50" s="315" t="e">
        <f>+D50/E113</f>
        <v>#REF!</v>
      </c>
      <c r="G50" s="360"/>
    </row>
    <row r="51" spans="2:7" ht="12.75">
      <c r="B51" s="322" t="s">
        <v>191</v>
      </c>
      <c r="C51" s="321"/>
      <c r="D51" s="314">
        <f>+'Inversión total en programas'!B49</f>
        <v>236000000</v>
      </c>
      <c r="E51" s="318"/>
      <c r="F51" s="315" t="e">
        <f>+D51/E113</f>
        <v>#REF!</v>
      </c>
      <c r="G51" s="360"/>
    </row>
    <row r="52" spans="2:7" ht="12.75" hidden="1" outlineLevel="1">
      <c r="B52" s="322" t="s">
        <v>75</v>
      </c>
      <c r="C52" s="321"/>
      <c r="D52" s="314">
        <f>+'Inversión total en programas'!B50</f>
        <v>0</v>
      </c>
      <c r="E52" s="318"/>
      <c r="F52" s="315" t="e">
        <f>+D52/E113</f>
        <v>#REF!</v>
      </c>
      <c r="G52" s="360"/>
    </row>
    <row r="53" spans="2:7" ht="12.75" collapsed="1">
      <c r="B53" s="322" t="s">
        <v>64</v>
      </c>
      <c r="C53" s="321"/>
      <c r="D53" s="314" t="e">
        <f>+'Inversión total en programas'!B51</f>
        <v>#REF!</v>
      </c>
      <c r="E53" s="318"/>
      <c r="F53" s="315" t="e">
        <f>+D53/E113</f>
        <v>#REF!</v>
      </c>
      <c r="G53" s="360"/>
    </row>
    <row r="54" spans="2:7" ht="12.75">
      <c r="B54" s="317" t="s">
        <v>67</v>
      </c>
      <c r="C54" s="323"/>
      <c r="D54" s="314" t="e">
        <f>+'Inversión total en programas'!B52</f>
        <v>#REF!</v>
      </c>
      <c r="E54" s="314"/>
      <c r="F54" s="315" t="e">
        <f>+D54/E113</f>
        <v>#REF!</v>
      </c>
      <c r="G54" s="360"/>
    </row>
    <row r="55" spans="2:7" ht="12.75">
      <c r="B55" s="313"/>
      <c r="C55" s="323"/>
      <c r="D55" s="314"/>
      <c r="E55" s="314"/>
      <c r="F55" s="315"/>
      <c r="G55" s="360"/>
    </row>
    <row r="56" spans="2:7" ht="12.75">
      <c r="B56" s="317" t="s">
        <v>243</v>
      </c>
      <c r="C56" s="323"/>
      <c r="D56" s="318" t="e">
        <f>+D57+D65</f>
        <v>#REF!</v>
      </c>
      <c r="E56" s="318" t="e">
        <f>+D57+D65</f>
        <v>#REF!</v>
      </c>
      <c r="F56" s="319" t="e">
        <f>+E56/E113</f>
        <v>#REF!</v>
      </c>
      <c r="G56" s="360"/>
    </row>
    <row r="57" spans="2:7" ht="12.75">
      <c r="B57" s="317" t="s">
        <v>63</v>
      </c>
      <c r="C57" s="323"/>
      <c r="D57" s="314">
        <f>+'Inversión total en programas'!B55</f>
        <v>769208400</v>
      </c>
      <c r="E57" s="318"/>
      <c r="F57" s="315" t="e">
        <f>+D57/E113</f>
        <v>#REF!</v>
      </c>
      <c r="G57" s="360"/>
    </row>
    <row r="58" spans="2:7" ht="12.75">
      <c r="B58" s="322" t="s">
        <v>34</v>
      </c>
      <c r="C58" s="323"/>
      <c r="D58" s="314">
        <f>+'Inversión total en programas'!B56</f>
        <v>170000000</v>
      </c>
      <c r="E58" s="314"/>
      <c r="F58" s="315" t="e">
        <f>+D58/E113</f>
        <v>#REF!</v>
      </c>
      <c r="G58" s="360"/>
    </row>
    <row r="59" spans="2:7" ht="12.75">
      <c r="B59" s="322" t="s">
        <v>168</v>
      </c>
      <c r="C59" s="324"/>
      <c r="D59" s="314">
        <f>+'Inversión total en programas'!B57</f>
        <v>260000000</v>
      </c>
      <c r="E59" s="318"/>
      <c r="F59" s="315" t="e">
        <f>+D59/E113</f>
        <v>#REF!</v>
      </c>
      <c r="G59" s="360"/>
    </row>
    <row r="60" spans="2:7" ht="12.75">
      <c r="B60" s="322" t="s">
        <v>246</v>
      </c>
      <c r="C60" s="324"/>
      <c r="D60" s="314">
        <f>+'Inversión total en programas'!B58</f>
        <v>289208400</v>
      </c>
      <c r="E60" s="318"/>
      <c r="F60" s="315" t="e">
        <f>+D60/E113</f>
        <v>#REF!</v>
      </c>
      <c r="G60" s="360"/>
    </row>
    <row r="61" spans="2:7" ht="12.75">
      <c r="B61" s="322" t="s">
        <v>175</v>
      </c>
      <c r="C61" s="324"/>
      <c r="D61" s="314">
        <f>+'Inversión total en programas'!B59</f>
        <v>50000000</v>
      </c>
      <c r="E61" s="318"/>
      <c r="F61" s="315" t="e">
        <f>+D61/E113</f>
        <v>#REF!</v>
      </c>
      <c r="G61" s="360"/>
    </row>
    <row r="62" spans="2:7" ht="12.75">
      <c r="B62" s="313" t="s">
        <v>64</v>
      </c>
      <c r="C62" s="323"/>
      <c r="D62" s="314" t="e">
        <f>+'Inversión total en programas'!B60</f>
        <v>#REF!</v>
      </c>
      <c r="E62" s="314"/>
      <c r="F62" s="315" t="e">
        <f>+D62/E113</f>
        <v>#REF!</v>
      </c>
      <c r="G62" s="360"/>
    </row>
    <row r="63" spans="2:7" ht="12.75">
      <c r="B63" s="313" t="s">
        <v>247</v>
      </c>
      <c r="C63" s="323"/>
      <c r="D63" s="314" t="e">
        <f>+'Inversión total en programas'!B61</f>
        <v>#REF!</v>
      </c>
      <c r="E63" s="314"/>
      <c r="F63" s="315"/>
      <c r="G63" s="360">
        <f>1733333+1733333+1733333+4083400+4080816+2040408+2057471+2057471+1657471</f>
        <v>21177036</v>
      </c>
    </row>
    <row r="64" spans="2:7" ht="12.75">
      <c r="B64" s="313" t="s">
        <v>190</v>
      </c>
      <c r="C64" s="323"/>
      <c r="D64" s="314" t="e">
        <f>+'Inversión total en programas'!B62</f>
        <v>#REF!</v>
      </c>
      <c r="E64" s="314"/>
      <c r="F64" s="315"/>
      <c r="G64" s="360"/>
    </row>
    <row r="65" spans="2:7" ht="12.75">
      <c r="B65" s="320" t="s">
        <v>67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26</v>
      </c>
      <c r="C67" s="314"/>
      <c r="D67" s="318" t="e">
        <f>+D68+D72</f>
        <v>#REF!</v>
      </c>
      <c r="E67" s="318" t="e">
        <f>+D68+D72</f>
        <v>#REF!</v>
      </c>
      <c r="F67" s="319" t="e">
        <f>+E67/E113</f>
        <v>#REF!</v>
      </c>
      <c r="G67" s="361" t="e">
        <f>+G68+G72</f>
        <v>#REF!</v>
      </c>
    </row>
    <row r="68" spans="2:7" ht="12.75">
      <c r="B68" s="320" t="s">
        <v>63</v>
      </c>
      <c r="C68" s="314"/>
      <c r="D68" s="325">
        <f>+'Inversión total en programas'!B66</f>
        <v>340000000</v>
      </c>
      <c r="E68" s="318"/>
      <c r="F68" s="315" t="e">
        <f>+D68/E113</f>
        <v>#REF!</v>
      </c>
      <c r="G68" s="360">
        <v>194637521</v>
      </c>
    </row>
    <row r="69" spans="2:7" ht="12.75">
      <c r="B69" s="313" t="s">
        <v>64</v>
      </c>
      <c r="C69" s="314"/>
      <c r="D69" s="323" t="e">
        <f>+'Inversión total en programas'!B67</f>
        <v>#REF!</v>
      </c>
      <c r="E69" s="314"/>
      <c r="F69" s="315" t="e">
        <f>+D69/E113</f>
        <v>#REF!</v>
      </c>
      <c r="G69" s="360" t="e">
        <f>+#REF!</f>
        <v>#REF!</v>
      </c>
    </row>
    <row r="70" spans="2:7" ht="12.75">
      <c r="B70" s="313" t="s">
        <v>176</v>
      </c>
      <c r="C70" s="314"/>
      <c r="D70" s="323" t="e">
        <f>+'Inversión total en programas'!B68</f>
        <v>#REF!</v>
      </c>
      <c r="E70" s="314"/>
      <c r="F70" s="315" t="e">
        <f>+D70/E113</f>
        <v>#REF!</v>
      </c>
      <c r="G70" s="360"/>
    </row>
    <row r="71" spans="2:7" ht="12.75">
      <c r="B71" s="313" t="s">
        <v>177</v>
      </c>
      <c r="C71" s="314"/>
      <c r="D71" s="323" t="e">
        <f>+'Inversión total en programas'!B69</f>
        <v>#REF!</v>
      </c>
      <c r="E71" s="314"/>
      <c r="F71" s="315" t="e">
        <f>+D71/E113</f>
        <v>#REF!</v>
      </c>
      <c r="G71" s="360"/>
    </row>
    <row r="72" spans="2:7" ht="12.75">
      <c r="B72" s="320" t="s">
        <v>67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178</v>
      </c>
      <c r="C74" s="314"/>
      <c r="D74" s="324" t="e">
        <f>+D75+D81</f>
        <v>#REF!</v>
      </c>
      <c r="E74" s="318" t="e">
        <f>+D75+D81</f>
        <v>#REF!</v>
      </c>
      <c r="F74" s="319" t="e">
        <f>+E74/E113</f>
        <v>#REF!</v>
      </c>
      <c r="G74" s="360"/>
    </row>
    <row r="75" spans="2:7" ht="12.75">
      <c r="B75" s="317" t="s">
        <v>63</v>
      </c>
      <c r="C75" s="314"/>
      <c r="D75" s="323">
        <f>+'Inversión total en programas'!B73</f>
        <v>472548000</v>
      </c>
      <c r="E75" s="318"/>
      <c r="F75" s="315" t="e">
        <f>+D75/E113</f>
        <v>#REF!</v>
      </c>
      <c r="G75" s="360"/>
    </row>
    <row r="76" spans="2:7" ht="12.75">
      <c r="B76" s="313" t="s">
        <v>181</v>
      </c>
      <c r="C76" s="326"/>
      <c r="D76" s="323">
        <f>+'Inversión total en programas'!B74</f>
        <v>258000000</v>
      </c>
      <c r="E76" s="326"/>
      <c r="F76" s="327" t="e">
        <f>+D76/E113</f>
        <v>#REF!</v>
      </c>
      <c r="G76" s="360"/>
    </row>
    <row r="77" spans="2:7" ht="12.75">
      <c r="B77" s="322" t="s">
        <v>182</v>
      </c>
      <c r="C77" s="314"/>
      <c r="D77" s="323">
        <f>+'Inversión total en programas'!B75</f>
        <v>74148000</v>
      </c>
      <c r="E77" s="318"/>
      <c r="F77" s="315" t="e">
        <f>+D77/E113</f>
        <v>#REF!</v>
      </c>
      <c r="G77" s="360"/>
    </row>
    <row r="78" spans="2:7" ht="12.75">
      <c r="B78" s="313" t="s">
        <v>224</v>
      </c>
      <c r="C78" s="314"/>
      <c r="D78" s="323">
        <f>+'Inversión total en programas'!B76</f>
        <v>130400000</v>
      </c>
      <c r="E78" s="314"/>
      <c r="F78" s="315" t="e">
        <f>+D78/E113</f>
        <v>#REF!</v>
      </c>
      <c r="G78" s="360"/>
    </row>
    <row r="79" spans="2:7" ht="12.75">
      <c r="B79" s="313" t="s">
        <v>179</v>
      </c>
      <c r="C79" s="314"/>
      <c r="D79" s="323">
        <f>+'Inversión total en programas'!B77</f>
        <v>10000000</v>
      </c>
      <c r="E79" s="314"/>
      <c r="F79" s="256" t="e">
        <f>+D79/E113</f>
        <v>#REF!</v>
      </c>
      <c r="G79" s="360"/>
    </row>
    <row r="80" spans="2:7" ht="12.75">
      <c r="B80" s="313" t="s">
        <v>180</v>
      </c>
      <c r="C80" s="314"/>
      <c r="D80" s="314" t="e">
        <f>+'Inversión total en programas'!B78</f>
        <v>#REF!</v>
      </c>
      <c r="E80" s="314"/>
      <c r="F80" s="256" t="e">
        <f>+D80/E113</f>
        <v>#REF!</v>
      </c>
      <c r="G80" s="360"/>
    </row>
    <row r="81" spans="2:7" ht="12.75">
      <c r="B81" s="317" t="s">
        <v>67</v>
      </c>
      <c r="C81" s="314"/>
      <c r="D81" s="314" t="e">
        <f>+'Inversión total en programas'!B79</f>
        <v>#REF!</v>
      </c>
      <c r="E81" s="318"/>
      <c r="F81" s="315" t="e">
        <f>+D81/E113</f>
        <v>#REF!</v>
      </c>
      <c r="G81" s="360"/>
    </row>
    <row r="82" spans="2:7" ht="12.75">
      <c r="B82" s="320"/>
      <c r="C82" s="314"/>
      <c r="D82" s="325"/>
      <c r="E82" s="318"/>
      <c r="F82" s="319"/>
      <c r="G82" s="360"/>
    </row>
    <row r="83" spans="2:7" ht="12.75">
      <c r="B83" s="320" t="s">
        <v>27</v>
      </c>
      <c r="C83" s="314"/>
      <c r="D83" s="321" t="e">
        <f>+D84+D93</f>
        <v>#REF!</v>
      </c>
      <c r="E83" s="318" t="e">
        <f>+D84+D93</f>
        <v>#REF!</v>
      </c>
      <c r="F83" s="319" t="e">
        <f>+E83/E113</f>
        <v>#REF!</v>
      </c>
      <c r="G83" s="361" t="e">
        <f>+G84+G93</f>
        <v>#REF!</v>
      </c>
    </row>
    <row r="84" spans="2:7" ht="12.75">
      <c r="B84" s="320" t="s">
        <v>63</v>
      </c>
      <c r="C84" s="314"/>
      <c r="D84" s="325">
        <f>SUM(D85:D89)</f>
        <v>452000000</v>
      </c>
      <c r="E84" s="318"/>
      <c r="F84" s="315" t="e">
        <f>+D84/E113</f>
        <v>#REF!</v>
      </c>
      <c r="G84" s="360">
        <v>291311426</v>
      </c>
    </row>
    <row r="85" spans="2:7" ht="12.75">
      <c r="B85" s="313" t="s">
        <v>183</v>
      </c>
      <c r="C85" s="314"/>
      <c r="D85" s="325">
        <f>+'Inversión total en programas'!B83</f>
        <v>220000000</v>
      </c>
      <c r="E85" s="314"/>
      <c r="F85" s="315" t="e">
        <f>+D85/E113</f>
        <v>#REF!</v>
      </c>
      <c r="G85" s="360"/>
    </row>
    <row r="86" spans="2:7" ht="12.75">
      <c r="B86" s="322" t="s">
        <v>59</v>
      </c>
      <c r="C86" s="314"/>
      <c r="D86" s="325">
        <f>+'Inversión total en programas'!B84</f>
        <v>55000000</v>
      </c>
      <c r="E86" s="318"/>
      <c r="F86" s="315" t="e">
        <f>+D86/E113</f>
        <v>#REF!</v>
      </c>
      <c r="G86" s="360"/>
    </row>
    <row r="87" spans="2:7" ht="12.75">
      <c r="B87" s="313" t="s">
        <v>60</v>
      </c>
      <c r="C87" s="314"/>
      <c r="D87" s="325">
        <f>+'Inversión total en programas'!B85</f>
        <v>30000000</v>
      </c>
      <c r="E87" s="314"/>
      <c r="F87" s="315" t="e">
        <f>+D87/E113</f>
        <v>#REF!</v>
      </c>
      <c r="G87" s="360"/>
    </row>
    <row r="88" spans="2:7" ht="12.75">
      <c r="B88" s="313" t="s">
        <v>184</v>
      </c>
      <c r="C88" s="314"/>
      <c r="D88" s="325">
        <f>+'Inversión total en programas'!B86</f>
        <v>117000000</v>
      </c>
      <c r="E88" s="314"/>
      <c r="F88" s="315" t="e">
        <f>+D88/E113</f>
        <v>#REF!</v>
      </c>
      <c r="G88" s="360"/>
    </row>
    <row r="89" spans="2:7" ht="12.75">
      <c r="B89" s="322" t="s">
        <v>214</v>
      </c>
      <c r="C89" s="314"/>
      <c r="D89" s="325">
        <f>+'Inversión total en programas'!B87</f>
        <v>30000000</v>
      </c>
      <c r="E89" s="318"/>
      <c r="F89" s="315" t="e">
        <f>+D89/E113</f>
        <v>#REF!</v>
      </c>
      <c r="G89" s="360"/>
    </row>
    <row r="90" spans="2:8" ht="12.75">
      <c r="B90" s="322" t="s">
        <v>185</v>
      </c>
      <c r="C90" s="314"/>
      <c r="D90" s="325" t="e">
        <f>+'Inversión total en programas'!B88</f>
        <v>#REF!</v>
      </c>
      <c r="E90" s="318"/>
      <c r="F90" s="315" t="e">
        <f>+D90/E113</f>
        <v>#REF!</v>
      </c>
      <c r="G90" s="360">
        <v>14882095</v>
      </c>
      <c r="H90" s="306" t="s">
        <v>250</v>
      </c>
    </row>
    <row r="91" spans="2:7" ht="12.75">
      <c r="B91" s="322" t="s">
        <v>216</v>
      </c>
      <c r="C91" s="314"/>
      <c r="D91" s="325" t="e">
        <f>+'Inversión total en programas'!B89</f>
        <v>#REF!</v>
      </c>
      <c r="E91" s="318"/>
      <c r="F91" s="315" t="e">
        <f>+D91/E113</f>
        <v>#REF!</v>
      </c>
      <c r="G91" s="360"/>
    </row>
    <row r="92" spans="2:7" ht="12.75">
      <c r="B92" s="322" t="s">
        <v>215</v>
      </c>
      <c r="C92" s="314"/>
      <c r="D92" s="325" t="e">
        <f>+'Inversión total en programas'!B90</f>
        <v>#REF!</v>
      </c>
      <c r="E92" s="318"/>
      <c r="F92" s="315" t="e">
        <f>+D92/E113</f>
        <v>#REF!</v>
      </c>
      <c r="G92" s="360" t="e">
        <f>+#REF!</f>
        <v>#REF!</v>
      </c>
    </row>
    <row r="93" spans="2:7" ht="12.75">
      <c r="B93" s="320" t="s">
        <v>67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188</v>
      </c>
      <c r="C96" s="314"/>
      <c r="D96" s="321" t="e">
        <f>+D97+D99</f>
        <v>#REF!</v>
      </c>
      <c r="E96" s="318" t="e">
        <f>+D97+D99</f>
        <v>#REF!</v>
      </c>
      <c r="F96" s="319" t="e">
        <f>+E96/E113</f>
        <v>#REF!</v>
      </c>
      <c r="G96" s="361" t="e">
        <f>+G97+G99</f>
        <v>#REF!</v>
      </c>
    </row>
    <row r="97" spans="2:7" ht="12.75">
      <c r="B97" s="317" t="s">
        <v>63</v>
      </c>
      <c r="C97" s="314"/>
      <c r="D97" s="325">
        <f>+'Inversión total en programas'!B95</f>
        <v>73000000</v>
      </c>
      <c r="E97" s="314"/>
      <c r="F97" s="315" t="e">
        <f>+D97/E113</f>
        <v>#REF!</v>
      </c>
      <c r="G97" s="360">
        <v>73568009</v>
      </c>
    </row>
    <row r="98" spans="2:7" ht="12.75">
      <c r="B98" s="322" t="s">
        <v>187</v>
      </c>
      <c r="C98" s="314"/>
      <c r="D98" s="325" t="e">
        <f>+'Inversión total en programas'!B96</f>
        <v>#REF!</v>
      </c>
      <c r="E98" s="318"/>
      <c r="F98" s="315" t="e">
        <f>+D98/E113</f>
        <v>#REF!</v>
      </c>
      <c r="G98" s="360" t="e">
        <f>+#REF!</f>
        <v>#REF!</v>
      </c>
    </row>
    <row r="99" spans="2:7" ht="12.75">
      <c r="B99" s="317" t="s">
        <v>67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203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225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204</v>
      </c>
      <c r="C105" s="314"/>
      <c r="D105" s="314"/>
      <c r="E105" s="314"/>
      <c r="F105" s="316"/>
      <c r="G105" s="360"/>
    </row>
    <row r="106" spans="2:7" ht="13.5" thickBot="1">
      <c r="B106" s="328"/>
      <c r="C106" s="329"/>
      <c r="D106" s="329"/>
      <c r="E106" s="329"/>
      <c r="F106" s="330"/>
      <c r="G106" s="360"/>
    </row>
    <row r="107" spans="2:7" ht="13.5" thickBot="1">
      <c r="B107" s="331" t="s">
        <v>205</v>
      </c>
      <c r="C107" s="332"/>
      <c r="D107" s="332"/>
      <c r="E107" s="332" t="e">
        <f>+E105+E103+E101</f>
        <v>#REF!</v>
      </c>
      <c r="F107" s="333" t="e">
        <f>+F103+F28+F12+F9</f>
        <v>#REF!</v>
      </c>
      <c r="G107" s="363"/>
    </row>
    <row r="108" spans="2:7" ht="12.75">
      <c r="B108" s="334"/>
      <c r="C108" s="335"/>
      <c r="D108" s="335"/>
      <c r="E108" s="335"/>
      <c r="F108" s="336"/>
      <c r="G108" s="360"/>
    </row>
    <row r="109" spans="2:7" ht="12.75">
      <c r="B109" s="317" t="s">
        <v>240</v>
      </c>
      <c r="C109" s="314"/>
      <c r="D109" s="314"/>
      <c r="E109" s="318" t="e">
        <f>+E110+E111</f>
        <v>#REF!</v>
      </c>
      <c r="F109" s="319" t="e">
        <f>+E109/$E$113</f>
        <v>#REF!</v>
      </c>
      <c r="G109" s="360"/>
    </row>
    <row r="110" spans="2:7" ht="12.75">
      <c r="B110" s="322" t="s">
        <v>226</v>
      </c>
      <c r="C110" s="314"/>
      <c r="D110" s="325"/>
      <c r="E110" s="314" t="e">
        <f>+SUPERAVIT2005_FNP</f>
        <v>#REF!</v>
      </c>
      <c r="F110" s="315" t="e">
        <f>+E110/$E$113</f>
        <v>#REF!</v>
      </c>
      <c r="G110" s="360"/>
    </row>
    <row r="111" spans="2:7" ht="12.75">
      <c r="B111" s="322" t="s">
        <v>217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206</v>
      </c>
      <c r="C113" s="342"/>
      <c r="D113" s="342"/>
      <c r="E113" s="342" t="e">
        <f>+E107+E109</f>
        <v>#REF!</v>
      </c>
      <c r="F113" s="343">
        <v>1</v>
      </c>
      <c r="G113" s="363"/>
    </row>
    <row r="114" spans="2:7" ht="15">
      <c r="B114" s="344"/>
      <c r="C114" s="345" t="s">
        <v>245</v>
      </c>
      <c r="D114" s="345"/>
      <c r="E114" s="345" t="e">
        <f>+#REF!</f>
        <v>#REF!</v>
      </c>
      <c r="F114" s="344"/>
      <c r="G114" s="312"/>
    </row>
    <row r="115" spans="2:7" ht="15">
      <c r="B115" s="344"/>
      <c r="C115" s="345" t="s">
        <v>167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228</v>
      </c>
      <c r="C118" s="346"/>
      <c r="D118" s="345"/>
      <c r="E118" s="345"/>
      <c r="F118" s="344"/>
      <c r="G118" s="312"/>
    </row>
    <row r="119" spans="2:7" ht="15">
      <c r="B119" s="347" t="s">
        <v>229</v>
      </c>
      <c r="C119" s="346"/>
      <c r="D119" s="345"/>
      <c r="E119" s="345"/>
      <c r="F119" s="344"/>
      <c r="G119" s="312"/>
    </row>
    <row r="120" spans="2:7" ht="12.75">
      <c r="B120" s="346" t="s">
        <v>169</v>
      </c>
      <c r="C120" s="348" t="e">
        <f>+#REF!</f>
        <v>#REF!</v>
      </c>
      <c r="D120" s="306"/>
      <c r="E120" s="306"/>
      <c r="F120" s="306"/>
      <c r="G120" s="312"/>
    </row>
    <row r="121" spans="2:7" ht="12.75">
      <c r="B121" s="257" t="s">
        <v>233</v>
      </c>
      <c r="C121" s="346" t="e">
        <f>+#REF!-#REF!</f>
        <v>#REF!</v>
      </c>
      <c r="D121" s="306"/>
      <c r="E121" s="306"/>
      <c r="F121" s="306"/>
      <c r="G121" s="312"/>
    </row>
    <row r="122" spans="2:7" ht="12.75">
      <c r="B122" s="257" t="s">
        <v>229</v>
      </c>
      <c r="C122" s="349" t="e">
        <f>+#REF!</f>
        <v>#REF!</v>
      </c>
      <c r="D122" s="306"/>
      <c r="E122" s="306"/>
      <c r="F122" s="306"/>
      <c r="G122" s="312"/>
    </row>
    <row r="123" spans="2:7" ht="12.75">
      <c r="B123" s="346" t="s">
        <v>173</v>
      </c>
      <c r="C123" s="350" t="e">
        <f>+#REF!</f>
        <v>#REF!</v>
      </c>
      <c r="D123" s="306"/>
      <c r="E123" s="306"/>
      <c r="F123" s="306"/>
      <c r="G123" s="312"/>
    </row>
    <row r="124" spans="2:7" ht="12.75">
      <c r="B124" s="346" t="s">
        <v>174</v>
      </c>
      <c r="C124" s="346" t="e">
        <f>+C123+C122+C121+C120</f>
        <v>#REF!</v>
      </c>
      <c r="D124" s="306"/>
      <c r="E124" s="306"/>
      <c r="F124" s="306"/>
      <c r="G124" s="312"/>
    </row>
    <row r="125" spans="2:7" ht="12.75">
      <c r="B125" s="346" t="s">
        <v>234</v>
      </c>
      <c r="C125" s="346"/>
      <c r="D125" s="306"/>
      <c r="E125" s="351"/>
      <c r="F125" s="306"/>
      <c r="G125" s="312"/>
    </row>
    <row r="126" spans="2:7" ht="12.75">
      <c r="B126" s="257" t="s">
        <v>238</v>
      </c>
      <c r="C126" s="350" t="e">
        <f>+#REF!-#REF!-#REF!</f>
        <v>#REF!</v>
      </c>
      <c r="D126" s="306"/>
      <c r="E126" s="351"/>
      <c r="F126" s="306"/>
      <c r="G126" s="312"/>
    </row>
    <row r="127" spans="2:7" ht="12.75">
      <c r="B127" s="346" t="s">
        <v>237</v>
      </c>
      <c r="C127" s="349" t="e">
        <f>+C124-C126</f>
        <v>#REF!</v>
      </c>
      <c r="D127" s="306"/>
      <c r="E127" s="351"/>
      <c r="F127" s="306"/>
      <c r="G127" s="312"/>
    </row>
    <row r="128" spans="2:7" ht="12.75">
      <c r="B128" s="346"/>
      <c r="C128" s="349"/>
      <c r="D128" s="306"/>
      <c r="E128" s="306"/>
      <c r="F128" s="306"/>
      <c r="G128" s="312"/>
    </row>
    <row r="129" spans="2:7" ht="12.75">
      <c r="B129" s="347" t="s">
        <v>230</v>
      </c>
      <c r="C129" s="346"/>
      <c r="F129" s="353"/>
      <c r="G129" s="312"/>
    </row>
    <row r="130" spans="2:7" ht="12.75">
      <c r="B130" s="346" t="s">
        <v>169</v>
      </c>
      <c r="C130" s="348" t="e">
        <f>+#REF!</f>
        <v>#REF!</v>
      </c>
      <c r="D130" s="353"/>
      <c r="G130" s="312"/>
    </row>
    <row r="131" spans="2:7" ht="12.75">
      <c r="B131" s="257" t="s">
        <v>233</v>
      </c>
      <c r="C131" s="346" t="e">
        <f>+#REF!</f>
        <v>#REF!</v>
      </c>
      <c r="D131" s="353"/>
      <c r="G131" s="312"/>
    </row>
    <row r="132" spans="2:7" ht="12.75">
      <c r="B132" s="257" t="s">
        <v>231</v>
      </c>
      <c r="C132" s="346" t="e">
        <f>+CUOTAPPC2005</f>
        <v>#REF!</v>
      </c>
      <c r="D132" s="353"/>
      <c r="G132" s="312"/>
    </row>
    <row r="133" spans="2:7" ht="12.75">
      <c r="B133" s="346" t="s">
        <v>232</v>
      </c>
      <c r="C133" s="350" t="e">
        <f>+VTAS2005</f>
        <v>#REF!</v>
      </c>
      <c r="G133" s="312"/>
    </row>
    <row r="134" spans="2:7" ht="12.75">
      <c r="B134" s="346" t="s">
        <v>174</v>
      </c>
      <c r="C134" s="346" t="e">
        <f>SUM(C130:C133)</f>
        <v>#REF!</v>
      </c>
      <c r="G134" s="312"/>
    </row>
    <row r="135" spans="2:7" ht="12.75">
      <c r="B135" s="346" t="s">
        <v>234</v>
      </c>
      <c r="C135" s="346"/>
      <c r="G135" s="312"/>
    </row>
    <row r="136" spans="2:7" ht="12.75">
      <c r="B136" s="346" t="s">
        <v>235</v>
      </c>
      <c r="C136" s="346" t="e">
        <f>+GTOSEPPC</f>
        <v>#REF!</v>
      </c>
      <c r="G136" s="312"/>
    </row>
    <row r="137" spans="2:7" ht="12.75">
      <c r="B137" s="346" t="s">
        <v>236</v>
      </c>
      <c r="C137" s="350">
        <f>DIAG_PPC</f>
        <v>117000000</v>
      </c>
      <c r="G137" s="312"/>
    </row>
    <row r="138" spans="2:7" ht="12.75">
      <c r="B138" s="346" t="s">
        <v>237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696" t="s">
        <v>18</v>
      </c>
      <c r="B1" s="696"/>
      <c r="C1" s="696"/>
    </row>
    <row r="2" spans="1:3" ht="15">
      <c r="A2" s="697" t="s">
        <v>51</v>
      </c>
      <c r="B2" s="696"/>
      <c r="C2" s="696"/>
    </row>
    <row r="3" spans="1:3" ht="15">
      <c r="A3" s="696" t="s">
        <v>170</v>
      </c>
      <c r="B3" s="696"/>
      <c r="C3" s="696"/>
    </row>
    <row r="4" spans="1:3" ht="15.75" thickBot="1">
      <c r="A4" s="698"/>
      <c r="B4" s="698"/>
      <c r="C4" s="698"/>
    </row>
    <row r="5" spans="1:4" ht="38.25" customHeight="1" thickTop="1">
      <c r="A5" s="259" t="s">
        <v>29</v>
      </c>
      <c r="B5" s="260" t="s">
        <v>61</v>
      </c>
      <c r="C5" s="261" t="s">
        <v>25</v>
      </c>
      <c r="D5" s="262" t="s">
        <v>39</v>
      </c>
    </row>
    <row r="6" spans="1:4" ht="15">
      <c r="A6" s="263" t="s">
        <v>19</v>
      </c>
      <c r="B6" s="263" t="e">
        <f>+B7</f>
        <v>#REF!</v>
      </c>
      <c r="C6" s="264" t="e">
        <f>+C7</f>
        <v>#REF!</v>
      </c>
      <c r="D6" s="265" t="e">
        <f>+C6/C105*100</f>
        <v>#REF!</v>
      </c>
    </row>
    <row r="7" spans="1:4" ht="15">
      <c r="A7" s="266" t="s">
        <v>62</v>
      </c>
      <c r="B7" s="266" t="e">
        <f>+#REF!-[0]!AUXBODEGA-[0]!ASISDESPACHOS-[0]!ASISCONTABPPC-[0]!ASISCALLCENTER-ASISICA+HONORAUDI_JURIDIC</f>
        <v>#REF!</v>
      </c>
      <c r="C7" s="267" t="e">
        <f>+B7</f>
        <v>#REF!</v>
      </c>
      <c r="D7" s="268"/>
    </row>
    <row r="8" spans="1:4" ht="15">
      <c r="A8" s="266"/>
      <c r="B8" s="269"/>
      <c r="C8" s="264"/>
      <c r="D8" s="270"/>
    </row>
    <row r="9" spans="1:4" ht="15">
      <c r="A9" s="263" t="s">
        <v>21</v>
      </c>
      <c r="B9" s="264">
        <f>SUM(B10:B23)</f>
        <v>304667803.38</v>
      </c>
      <c r="C9" s="264">
        <f>SUM(C10:C23)</f>
        <v>304667803.38</v>
      </c>
      <c r="D9" s="265" t="e">
        <f>+C9/C105*100</f>
        <v>#REF!</v>
      </c>
    </row>
    <row r="10" spans="1:4" ht="15">
      <c r="A10" s="269" t="s">
        <v>194</v>
      </c>
      <c r="B10" s="232">
        <v>21500000</v>
      </c>
      <c r="C10" s="267">
        <f>+SUM(B10:B10)</f>
        <v>21500000</v>
      </c>
      <c r="D10" s="268" t="e">
        <f>(+C10/C105)*100</f>
        <v>#REF!</v>
      </c>
    </row>
    <row r="11" spans="1:4" ht="15">
      <c r="A11" s="269" t="s">
        <v>42</v>
      </c>
      <c r="B11" s="232">
        <v>5924000</v>
      </c>
      <c r="C11" s="267">
        <f>+SUM(B11:B11)</f>
        <v>5924000</v>
      </c>
      <c r="D11" s="268" t="e">
        <f>+C11/C105*100</f>
        <v>#REF!</v>
      </c>
    </row>
    <row r="12" spans="1:4" ht="15">
      <c r="A12" s="269" t="s">
        <v>43</v>
      </c>
      <c r="B12" s="232">
        <v>15000000</v>
      </c>
      <c r="C12" s="267">
        <f>+SUM(B12:B12)</f>
        <v>15000000</v>
      </c>
      <c r="D12" s="268" t="e">
        <f>+C12/C105*100</f>
        <v>#REF!</v>
      </c>
    </row>
    <row r="13" spans="1:4" ht="15">
      <c r="A13" s="269" t="s">
        <v>22</v>
      </c>
      <c r="B13" s="232">
        <v>16571515</v>
      </c>
      <c r="C13" s="267">
        <f aca="true" t="shared" si="0" ref="C13:C23">+SUM(B13:B13)</f>
        <v>16571515</v>
      </c>
      <c r="D13" s="268" t="e">
        <f>+C13/C105*100</f>
        <v>#REF!</v>
      </c>
    </row>
    <row r="14" spans="1:4" ht="15">
      <c r="A14" s="269" t="s">
        <v>44</v>
      </c>
      <c r="B14" s="232">
        <v>33250000</v>
      </c>
      <c r="C14" s="267">
        <f t="shared" si="0"/>
        <v>33250000</v>
      </c>
      <c r="D14" s="268" t="e">
        <f>+C14/C105*100</f>
        <v>#REF!</v>
      </c>
    </row>
    <row r="15" spans="1:4" ht="15">
      <c r="A15" s="269" t="s">
        <v>23</v>
      </c>
      <c r="B15" s="232">
        <v>30729600</v>
      </c>
      <c r="C15" s="267">
        <f t="shared" si="0"/>
        <v>30729600</v>
      </c>
      <c r="D15" s="268" t="e">
        <f>+C15/C105*100</f>
        <v>#REF!</v>
      </c>
    </row>
    <row r="16" spans="1:4" ht="15">
      <c r="A16" s="269" t="s">
        <v>45</v>
      </c>
      <c r="B16" s="232">
        <v>8900000</v>
      </c>
      <c r="C16" s="267">
        <f t="shared" si="0"/>
        <v>8900000</v>
      </c>
      <c r="D16" s="268" t="e">
        <f>+C16/C105*100</f>
        <v>#REF!</v>
      </c>
    </row>
    <row r="17" spans="1:4" ht="15">
      <c r="A17" s="269" t="s">
        <v>195</v>
      </c>
      <c r="B17" s="232">
        <v>20000000</v>
      </c>
      <c r="C17" s="267">
        <f t="shared" si="0"/>
        <v>20000000</v>
      </c>
      <c r="D17" s="268" t="e">
        <f>+C17/C105*100</f>
        <v>#REF!</v>
      </c>
    </row>
    <row r="18" spans="1:4" ht="15">
      <c r="A18" s="269" t="s">
        <v>24</v>
      </c>
      <c r="B18" s="232">
        <v>42250000</v>
      </c>
      <c r="C18" s="267">
        <f t="shared" si="0"/>
        <v>42250000</v>
      </c>
      <c r="D18" s="268" t="e">
        <f>+C18/C105*100</f>
        <v>#REF!</v>
      </c>
    </row>
    <row r="19" spans="1:4" ht="15">
      <c r="A19" s="269" t="s">
        <v>40</v>
      </c>
      <c r="B19" s="232">
        <v>3032800</v>
      </c>
      <c r="C19" s="267">
        <f t="shared" si="0"/>
        <v>3032800</v>
      </c>
      <c r="D19" s="268" t="e">
        <f>+C19/C105*100</f>
        <v>#REF!</v>
      </c>
    </row>
    <row r="20" spans="1:4" ht="15">
      <c r="A20" s="269" t="s">
        <v>46</v>
      </c>
      <c r="B20" s="232">
        <v>26833000</v>
      </c>
      <c r="C20" s="267">
        <f t="shared" si="0"/>
        <v>26833000</v>
      </c>
      <c r="D20" s="268" t="e">
        <f>+C20/C105*100</f>
        <v>#REF!</v>
      </c>
    </row>
    <row r="21" spans="1:4" ht="15">
      <c r="A21" s="269" t="s">
        <v>47</v>
      </c>
      <c r="B21" s="232">
        <v>8900000</v>
      </c>
      <c r="C21" s="267">
        <f t="shared" si="0"/>
        <v>8900000</v>
      </c>
      <c r="D21" s="268" t="e">
        <f>+C21/C105*100</f>
        <v>#REF!</v>
      </c>
    </row>
    <row r="22" spans="1:4" ht="15">
      <c r="A22" s="269" t="s">
        <v>48</v>
      </c>
      <c r="B22" s="232">
        <v>60000000</v>
      </c>
      <c r="C22" s="267">
        <f t="shared" si="0"/>
        <v>60000000</v>
      </c>
      <c r="D22" s="268" t="e">
        <f>+C22/C105*100</f>
        <v>#REF!</v>
      </c>
    </row>
    <row r="23" spans="1:4" ht="15">
      <c r="A23" s="269" t="s">
        <v>49</v>
      </c>
      <c r="B23" s="232">
        <v>11776888.38</v>
      </c>
      <c r="C23" s="267">
        <f t="shared" si="0"/>
        <v>11776888.38</v>
      </c>
      <c r="D23" s="268" t="e">
        <f>+C23/C105*100</f>
        <v>#REF!</v>
      </c>
    </row>
    <row r="24" spans="1:4" ht="15">
      <c r="A24" s="271" t="s">
        <v>200</v>
      </c>
      <c r="B24" s="272">
        <f>SUM(B10:B23)</f>
        <v>304667803.38</v>
      </c>
      <c r="C24" s="272" t="e">
        <f>+C9+C6</f>
        <v>#REF!</v>
      </c>
      <c r="D24" s="273" t="e">
        <f>+D9+D6</f>
        <v>#REF!</v>
      </c>
    </row>
    <row r="25" spans="1:4" ht="15">
      <c r="A25" s="274"/>
      <c r="B25" s="269"/>
      <c r="C25" s="274"/>
      <c r="D25" s="270"/>
    </row>
    <row r="26" spans="1:5" ht="15">
      <c r="A26" s="271" t="s">
        <v>31</v>
      </c>
      <c r="B26" s="271"/>
      <c r="C26" s="272" t="e">
        <f>SUM(C28:C96)</f>
        <v>#REF!</v>
      </c>
      <c r="D26" s="273" t="e">
        <f>SUM(D28:D101)</f>
        <v>#REF!</v>
      </c>
      <c r="E26" s="275"/>
    </row>
    <row r="27" spans="1:4" ht="15">
      <c r="A27" s="274"/>
      <c r="B27" s="269"/>
      <c r="C27" s="267"/>
      <c r="D27" s="270"/>
    </row>
    <row r="28" spans="1:4" ht="15">
      <c r="A28" s="276" t="s">
        <v>50</v>
      </c>
      <c r="B28" s="277"/>
      <c r="C28" s="264" t="e">
        <f>B29+B33</f>
        <v>#REF!</v>
      </c>
      <c r="D28" s="268" t="e">
        <f>+C28/C105*100</f>
        <v>#REF!</v>
      </c>
    </row>
    <row r="29" spans="1:4" ht="15">
      <c r="A29" s="276" t="s">
        <v>63</v>
      </c>
      <c r="B29" s="234">
        <v>145800000</v>
      </c>
      <c r="C29" s="264"/>
      <c r="D29" s="268"/>
    </row>
    <row r="30" spans="1:6" ht="15">
      <c r="A30" s="279" t="s">
        <v>64</v>
      </c>
      <c r="B30" s="280" t="e">
        <f>+#REF!</f>
        <v>#REF!</v>
      </c>
      <c r="C30" s="264"/>
      <c r="D30" s="268"/>
      <c r="E30" s="281"/>
      <c r="F30" s="281"/>
    </row>
    <row r="31" spans="1:6" ht="15">
      <c r="A31" s="279" t="s">
        <v>65</v>
      </c>
      <c r="B31" s="280" t="e">
        <f>+#REF!</f>
        <v>#REF!</v>
      </c>
      <c r="C31" s="264"/>
      <c r="D31" s="268"/>
      <c r="F31" s="281"/>
    </row>
    <row r="32" spans="1:6" ht="15">
      <c r="A32" s="279" t="s">
        <v>66</v>
      </c>
      <c r="B32" s="280" t="e">
        <f>+#REF!+#REF!</f>
        <v>#REF!</v>
      </c>
      <c r="C32" s="264"/>
      <c r="D32" s="268"/>
      <c r="F32" s="281"/>
    </row>
    <row r="33" spans="1:6" ht="15">
      <c r="A33" s="276" t="s">
        <v>67</v>
      </c>
      <c r="B33" s="278" t="e">
        <f>SUM(B30:B32)</f>
        <v>#REF!</v>
      </c>
      <c r="C33" s="264"/>
      <c r="D33" s="268"/>
      <c r="F33" s="281"/>
    </row>
    <row r="34" spans="1:6" ht="15">
      <c r="A34" s="279"/>
      <c r="B34" s="278"/>
      <c r="C34" s="264"/>
      <c r="D34" s="268"/>
      <c r="F34" s="281"/>
    </row>
    <row r="35" spans="1:6" ht="15">
      <c r="A35" s="282" t="s">
        <v>54</v>
      </c>
      <c r="B35" s="277"/>
      <c r="C35" s="264" t="e">
        <f>B36+B43</f>
        <v>#REF!</v>
      </c>
      <c r="D35" s="268" t="e">
        <f>+C35/C105*100</f>
        <v>#REF!</v>
      </c>
      <c r="F35" s="281"/>
    </row>
    <row r="36" spans="1:6" ht="15">
      <c r="A36" s="282" t="s">
        <v>63</v>
      </c>
      <c r="B36" s="234">
        <v>3826475436</v>
      </c>
      <c r="C36" s="264"/>
      <c r="D36" s="268"/>
      <c r="F36" s="281"/>
    </row>
    <row r="37" spans="1:6" ht="15">
      <c r="A37" s="283" t="s">
        <v>68</v>
      </c>
      <c r="B37" s="280" t="e">
        <f>+#REF!+#REF!</f>
        <v>#REF!</v>
      </c>
      <c r="C37" s="264"/>
      <c r="D37" s="268"/>
      <c r="F37" s="281"/>
    </row>
    <row r="38" spans="1:6" ht="13.5" customHeight="1">
      <c r="A38" s="283" t="s">
        <v>64</v>
      </c>
      <c r="B38" s="280" t="e">
        <f>+#REF!</f>
        <v>#REF!</v>
      </c>
      <c r="C38" s="264"/>
      <c r="D38" s="268"/>
      <c r="F38" s="281"/>
    </row>
    <row r="39" spans="1:6" ht="13.5" customHeight="1">
      <c r="A39" s="283" t="s">
        <v>69</v>
      </c>
      <c r="B39" s="280" t="e">
        <f>+#REF!/3</f>
        <v>#REF!</v>
      </c>
      <c r="C39" s="264"/>
      <c r="D39" s="268"/>
      <c r="F39" s="281"/>
    </row>
    <row r="40" spans="1:6" ht="13.5" customHeight="1">
      <c r="A40" s="283" t="s">
        <v>70</v>
      </c>
      <c r="B40" s="280" t="e">
        <f>+#REF!</f>
        <v>#REF!</v>
      </c>
      <c r="C40" s="264"/>
      <c r="D40" s="268"/>
      <c r="F40" s="281"/>
    </row>
    <row r="41" spans="1:6" ht="13.5" customHeight="1">
      <c r="A41" s="283" t="s">
        <v>71</v>
      </c>
      <c r="B41" s="280" t="e">
        <f>+#REF!</f>
        <v>#REF!</v>
      </c>
      <c r="C41" s="264"/>
      <c r="D41" s="268"/>
      <c r="F41" s="281"/>
    </row>
    <row r="42" spans="1:6" ht="13.5" customHeight="1">
      <c r="A42" s="283" t="s">
        <v>72</v>
      </c>
      <c r="B42" s="280" t="e">
        <f>+#REF!</f>
        <v>#REF!</v>
      </c>
      <c r="C42" s="264"/>
      <c r="D42" s="268"/>
      <c r="F42" s="281"/>
    </row>
    <row r="43" spans="1:6" ht="13.5" customHeight="1">
      <c r="A43" s="282" t="s">
        <v>67</v>
      </c>
      <c r="B43" s="278" t="e">
        <f>SUM(B37:B42)</f>
        <v>#REF!</v>
      </c>
      <c r="C43" s="264"/>
      <c r="D43" s="268"/>
      <c r="F43" s="281"/>
    </row>
    <row r="44" spans="1:6" ht="13.5" customHeight="1">
      <c r="A44" s="283"/>
      <c r="B44" s="278"/>
      <c r="C44" s="264"/>
      <c r="D44" s="268"/>
      <c r="F44" s="281"/>
    </row>
    <row r="45" spans="1:6" ht="13.5" customHeight="1">
      <c r="A45" s="276" t="s">
        <v>32</v>
      </c>
      <c r="B45" s="269"/>
      <c r="C45" s="264" t="e">
        <f>B46+B52</f>
        <v>#REF!</v>
      </c>
      <c r="D45" s="284" t="e">
        <f>+C45/C105*100</f>
        <v>#REF!</v>
      </c>
      <c r="F45" s="281"/>
    </row>
    <row r="46" spans="1:6" ht="13.5" customHeight="1">
      <c r="A46" s="282" t="s">
        <v>63</v>
      </c>
      <c r="B46" s="285">
        <f>B47+B48+B49+B50</f>
        <v>372000000</v>
      </c>
      <c r="C46" s="264"/>
      <c r="D46" s="284"/>
      <c r="F46" s="281"/>
    </row>
    <row r="47" spans="1:6" ht="13.5" customHeight="1">
      <c r="A47" s="279" t="s">
        <v>73</v>
      </c>
      <c r="B47" s="233">
        <v>50000000</v>
      </c>
      <c r="C47" s="264"/>
      <c r="D47" s="270"/>
      <c r="F47" s="281"/>
    </row>
    <row r="48" spans="1:4" ht="15">
      <c r="A48" s="279" t="s">
        <v>74</v>
      </c>
      <c r="B48" s="233">
        <v>86000000</v>
      </c>
      <c r="C48" s="264"/>
      <c r="D48" s="270"/>
    </row>
    <row r="49" spans="1:4" ht="15">
      <c r="A49" s="279" t="s">
        <v>191</v>
      </c>
      <c r="B49" s="233">
        <v>236000000</v>
      </c>
      <c r="C49" s="264"/>
      <c r="D49" s="270"/>
    </row>
    <row r="50" spans="1:4" ht="15" hidden="1" outlineLevel="1">
      <c r="A50" s="283" t="s">
        <v>75</v>
      </c>
      <c r="B50" s="277">
        <v>0</v>
      </c>
      <c r="C50" s="264"/>
      <c r="D50" s="270"/>
    </row>
    <row r="51" spans="1:4" ht="15" collapsed="1">
      <c r="A51" s="283" t="s">
        <v>64</v>
      </c>
      <c r="B51" s="280" t="e">
        <f>+#REF!</f>
        <v>#REF!</v>
      </c>
      <c r="C51" s="264"/>
      <c r="D51" s="270"/>
    </row>
    <row r="52" spans="1:4" ht="15">
      <c r="A52" s="276" t="s">
        <v>67</v>
      </c>
      <c r="B52" s="278" t="e">
        <f>B51</f>
        <v>#REF!</v>
      </c>
      <c r="C52" s="264"/>
      <c r="D52" s="270"/>
    </row>
    <row r="53" spans="1:4" ht="15">
      <c r="A53" s="276"/>
      <c r="B53" s="277"/>
      <c r="C53" s="264"/>
      <c r="D53" s="270"/>
    </row>
    <row r="54" spans="1:4" ht="15">
      <c r="A54" s="282" t="s">
        <v>243</v>
      </c>
      <c r="B54" s="277"/>
      <c r="C54" s="264" t="e">
        <f>B55+B63</f>
        <v>#REF!</v>
      </c>
      <c r="D54" s="268" t="e">
        <f>+C54/C105*100</f>
        <v>#REF!</v>
      </c>
    </row>
    <row r="55" spans="1:4" ht="16.5" customHeight="1">
      <c r="A55" s="282" t="s">
        <v>63</v>
      </c>
      <c r="B55" s="278">
        <f>SUM(B56:B59)</f>
        <v>769208400</v>
      </c>
      <c r="C55" s="264"/>
      <c r="D55" s="268"/>
    </row>
    <row r="56" spans="1:4" ht="13.5" customHeight="1">
      <c r="A56" s="283" t="s">
        <v>34</v>
      </c>
      <c r="B56" s="233">
        <v>170000000</v>
      </c>
      <c r="C56" s="267"/>
      <c r="D56" s="270"/>
    </row>
    <row r="57" spans="1:4" ht="15">
      <c r="A57" s="283" t="s">
        <v>168</v>
      </c>
      <c r="B57" s="233">
        <v>260000000</v>
      </c>
      <c r="C57" s="267"/>
      <c r="D57" s="270"/>
    </row>
    <row r="58" spans="1:4" ht="15">
      <c r="A58" s="283" t="s">
        <v>246</v>
      </c>
      <c r="B58" s="233">
        <v>289208400</v>
      </c>
      <c r="C58" s="267"/>
      <c r="D58" s="270"/>
    </row>
    <row r="59" spans="1:4" ht="15">
      <c r="A59" s="283" t="s">
        <v>175</v>
      </c>
      <c r="B59" s="233">
        <v>50000000</v>
      </c>
      <c r="C59" s="267"/>
      <c r="D59" s="270"/>
    </row>
    <row r="60" spans="1:4" ht="15">
      <c r="A60" s="283" t="s">
        <v>64</v>
      </c>
      <c r="B60" s="280" t="e">
        <f>+#REF!</f>
        <v>#REF!</v>
      </c>
      <c r="C60" s="267"/>
      <c r="D60" s="270"/>
    </row>
    <row r="61" spans="1:4" ht="15">
      <c r="A61" s="283" t="s">
        <v>247</v>
      </c>
      <c r="B61" s="277" t="e">
        <f>+#REF!</f>
        <v>#REF!</v>
      </c>
      <c r="C61" s="267"/>
      <c r="D61" s="270"/>
    </row>
    <row r="62" spans="1:4" ht="15">
      <c r="A62" s="283" t="s">
        <v>190</v>
      </c>
      <c r="B62" s="277" t="e">
        <f>+#REF!</f>
        <v>#REF!</v>
      </c>
      <c r="C62" s="267"/>
      <c r="D62" s="270"/>
    </row>
    <row r="63" spans="1:4" ht="15">
      <c r="A63" s="276" t="s">
        <v>67</v>
      </c>
      <c r="B63" s="278" t="e">
        <f>SUM(B60:B62)</f>
        <v>#REF!</v>
      </c>
      <c r="C63" s="267"/>
      <c r="D63" s="270"/>
    </row>
    <row r="64" spans="1:4" ht="15">
      <c r="A64" s="276"/>
      <c r="B64" s="277"/>
      <c r="C64" s="267"/>
      <c r="D64" s="270"/>
    </row>
    <row r="65" spans="1:4" ht="15">
      <c r="A65" s="282" t="s">
        <v>26</v>
      </c>
      <c r="B65" s="277"/>
      <c r="C65" s="264" t="e">
        <f>B66+B70</f>
        <v>#REF!</v>
      </c>
      <c r="D65" s="268" t="e">
        <f>+C65/C105*100</f>
        <v>#REF!</v>
      </c>
    </row>
    <row r="66" spans="1:4" ht="15">
      <c r="A66" s="282" t="s">
        <v>63</v>
      </c>
      <c r="B66" s="234">
        <v>340000000</v>
      </c>
      <c r="C66" s="264"/>
      <c r="D66" s="268"/>
    </row>
    <row r="67" spans="1:4" ht="15">
      <c r="A67" s="283" t="s">
        <v>64</v>
      </c>
      <c r="B67" s="280" t="e">
        <f>+#REF!</f>
        <v>#REF!</v>
      </c>
      <c r="C67" s="264"/>
      <c r="D67" s="268"/>
    </row>
    <row r="68" spans="1:4" ht="15">
      <c r="A68" s="283" t="s">
        <v>176</v>
      </c>
      <c r="B68" s="280" t="e">
        <f>+#REF!</f>
        <v>#REF!</v>
      </c>
      <c r="C68" s="264"/>
      <c r="D68" s="268"/>
    </row>
    <row r="69" spans="1:4" ht="17.25" customHeight="1">
      <c r="A69" s="283" t="s">
        <v>177</v>
      </c>
      <c r="B69" s="280" t="e">
        <f>+#REF!</f>
        <v>#REF!</v>
      </c>
      <c r="C69" s="264"/>
      <c r="D69" s="268"/>
    </row>
    <row r="70" spans="1:4" ht="15">
      <c r="A70" s="276" t="s">
        <v>67</v>
      </c>
      <c r="B70" s="278" t="e">
        <f>SUM(B67:B69)</f>
        <v>#REF!</v>
      </c>
      <c r="C70" s="264"/>
      <c r="D70" s="268"/>
    </row>
    <row r="71" spans="1:4" ht="15">
      <c r="A71" s="276"/>
      <c r="B71" s="277"/>
      <c r="C71" s="264"/>
      <c r="D71" s="268"/>
    </row>
    <row r="72" spans="1:4" ht="15">
      <c r="A72" s="282" t="s">
        <v>178</v>
      </c>
      <c r="B72" s="277"/>
      <c r="C72" s="264" t="e">
        <f>+B74+B75+B76+B77+B78</f>
        <v>#REF!</v>
      </c>
      <c r="D72" s="268" t="e">
        <f>+C72/C105*100</f>
        <v>#REF!</v>
      </c>
    </row>
    <row r="73" spans="1:4" ht="15">
      <c r="A73" s="282" t="s">
        <v>63</v>
      </c>
      <c r="B73" s="278">
        <f>SUM(B74:B77)</f>
        <v>472548000</v>
      </c>
      <c r="C73" s="264"/>
      <c r="D73" s="268"/>
    </row>
    <row r="74" spans="1:4" ht="15">
      <c r="A74" s="283" t="s">
        <v>181</v>
      </c>
      <c r="B74" s="233">
        <v>258000000</v>
      </c>
      <c r="C74" s="267"/>
      <c r="D74" s="270"/>
    </row>
    <row r="75" spans="1:4" ht="15">
      <c r="A75" s="283" t="s">
        <v>182</v>
      </c>
      <c r="B75" s="233">
        <v>74148000</v>
      </c>
      <c r="C75" s="267"/>
      <c r="D75" s="270"/>
    </row>
    <row r="76" spans="1:4" ht="15">
      <c r="A76" s="283" t="s">
        <v>57</v>
      </c>
      <c r="B76" s="233">
        <v>130400000</v>
      </c>
      <c r="C76" s="267"/>
      <c r="D76" s="270"/>
    </row>
    <row r="77" spans="1:4" ht="15">
      <c r="A77" s="283" t="s">
        <v>179</v>
      </c>
      <c r="B77" s="233">
        <v>10000000</v>
      </c>
      <c r="C77" s="267"/>
      <c r="D77" s="270"/>
    </row>
    <row r="78" spans="1:4" ht="15">
      <c r="A78" s="283" t="s">
        <v>180</v>
      </c>
      <c r="B78" s="280" t="e">
        <f>+#REF!</f>
        <v>#REF!</v>
      </c>
      <c r="C78" s="267"/>
      <c r="D78" s="270"/>
    </row>
    <row r="79" spans="1:4" ht="15">
      <c r="A79" s="276" t="s">
        <v>67</v>
      </c>
      <c r="B79" s="278" t="e">
        <f>B78</f>
        <v>#REF!</v>
      </c>
      <c r="C79" s="267"/>
      <c r="D79" s="270"/>
    </row>
    <row r="80" spans="1:4" ht="15">
      <c r="A80" s="276"/>
      <c r="B80" s="277"/>
      <c r="C80" s="267"/>
      <c r="D80" s="270"/>
    </row>
    <row r="81" spans="1:4" ht="15">
      <c r="A81" s="282" t="s">
        <v>27</v>
      </c>
      <c r="B81" s="277"/>
      <c r="C81" s="264" t="e">
        <f>B82+B91</f>
        <v>#REF!</v>
      </c>
      <c r="D81" s="268" t="e">
        <f>+C81/C105*100</f>
        <v>#REF!</v>
      </c>
    </row>
    <row r="82" spans="1:4" ht="15">
      <c r="A82" s="282" t="s">
        <v>63</v>
      </c>
      <c r="B82" s="278">
        <f>SUM(B83:B87)</f>
        <v>452000000</v>
      </c>
      <c r="C82" s="264"/>
      <c r="D82" s="268"/>
    </row>
    <row r="83" spans="1:4" ht="15">
      <c r="A83" s="283" t="s">
        <v>183</v>
      </c>
      <c r="B83" s="233">
        <v>220000000</v>
      </c>
      <c r="C83" s="267"/>
      <c r="D83" s="270"/>
    </row>
    <row r="84" spans="1:4" ht="15">
      <c r="A84" s="283" t="s">
        <v>59</v>
      </c>
      <c r="B84" s="233">
        <v>55000000</v>
      </c>
      <c r="C84" s="267"/>
      <c r="D84" s="270"/>
    </row>
    <row r="85" spans="1:4" ht="15">
      <c r="A85" s="283" t="s">
        <v>60</v>
      </c>
      <c r="B85" s="233">
        <v>30000000</v>
      </c>
      <c r="C85" s="267"/>
      <c r="D85" s="270"/>
    </row>
    <row r="86" spans="1:4" ht="15">
      <c r="A86" s="283" t="s">
        <v>184</v>
      </c>
      <c r="B86" s="233">
        <v>117000000</v>
      </c>
      <c r="C86" s="267"/>
      <c r="D86" s="270"/>
    </row>
    <row r="87" spans="1:4" ht="15">
      <c r="A87" s="283" t="s">
        <v>189</v>
      </c>
      <c r="B87" s="233">
        <v>30000000</v>
      </c>
      <c r="C87" s="267"/>
      <c r="D87" s="270"/>
    </row>
    <row r="88" spans="1:4" ht="15">
      <c r="A88" s="283" t="s">
        <v>185</v>
      </c>
      <c r="B88" s="277" t="e">
        <f>+#REF!/3*2</f>
        <v>#REF!</v>
      </c>
      <c r="C88" s="267"/>
      <c r="D88" s="270"/>
    </row>
    <row r="89" spans="1:4" ht="15">
      <c r="A89" s="283" t="s">
        <v>186</v>
      </c>
      <c r="B89" s="277" t="e">
        <f>+#REF!</f>
        <v>#REF!</v>
      </c>
      <c r="C89" s="267"/>
      <c r="D89" s="270"/>
    </row>
    <row r="90" spans="1:4" ht="15">
      <c r="A90" s="283" t="s">
        <v>227</v>
      </c>
      <c r="B90" s="277" t="e">
        <f>+ASISICA</f>
        <v>#REF!</v>
      </c>
      <c r="C90" s="267"/>
      <c r="D90" s="270"/>
    </row>
    <row r="91" spans="1:4" ht="15">
      <c r="A91" s="276" t="s">
        <v>67</v>
      </c>
      <c r="B91" s="278" t="e">
        <f>SUM(B88:B90)</f>
        <v>#REF!</v>
      </c>
      <c r="C91" s="267"/>
      <c r="D91" s="270"/>
    </row>
    <row r="92" spans="1:4" ht="15">
      <c r="A92" s="276"/>
      <c r="B92" s="277"/>
      <c r="C92" s="267"/>
      <c r="D92" s="270"/>
    </row>
    <row r="93" spans="1:4" ht="15">
      <c r="A93" s="276"/>
      <c r="B93" s="277"/>
      <c r="C93" s="264"/>
      <c r="D93" s="268"/>
    </row>
    <row r="94" spans="1:4" ht="15">
      <c r="A94" s="282" t="s">
        <v>188</v>
      </c>
      <c r="B94" s="277"/>
      <c r="C94" s="264" t="e">
        <f>B95+B97</f>
        <v>#REF!</v>
      </c>
      <c r="D94" s="268" t="e">
        <f>+C94/C105*100</f>
        <v>#REF!</v>
      </c>
    </row>
    <row r="95" spans="1:4" ht="15">
      <c r="A95" s="282" t="s">
        <v>63</v>
      </c>
      <c r="B95" s="234">
        <v>73000000</v>
      </c>
      <c r="C95" s="264"/>
      <c r="D95" s="268"/>
    </row>
    <row r="96" spans="1:4" ht="15">
      <c r="A96" s="283" t="s">
        <v>20</v>
      </c>
      <c r="B96" s="277" t="e">
        <f>+#REF!</f>
        <v>#REF!</v>
      </c>
      <c r="C96" s="264"/>
      <c r="D96" s="268"/>
    </row>
    <row r="97" spans="1:4" ht="15">
      <c r="A97" s="276" t="s">
        <v>67</v>
      </c>
      <c r="B97" s="278" t="e">
        <f>+B96</f>
        <v>#REF!</v>
      </c>
      <c r="C97" s="264"/>
      <c r="D97" s="268"/>
    </row>
    <row r="98" spans="1:4" ht="15">
      <c r="A98" s="276"/>
      <c r="B98" s="277"/>
      <c r="C98" s="264"/>
      <c r="D98" s="268"/>
    </row>
    <row r="99" spans="1:4" ht="15">
      <c r="A99" s="282" t="s">
        <v>171</v>
      </c>
      <c r="B99" s="234" t="e">
        <f>SUM(#REF!)*10%</f>
        <v>#REF!</v>
      </c>
      <c r="C99" s="264" t="e">
        <f>+B99</f>
        <v>#REF!</v>
      </c>
      <c r="D99" s="268" t="e">
        <f>+C99/C105*100</f>
        <v>#REF!</v>
      </c>
    </row>
    <row r="100" spans="1:4" ht="15">
      <c r="A100" s="282"/>
      <c r="B100" s="278"/>
      <c r="C100" s="264"/>
      <c r="D100" s="268"/>
    </row>
    <row r="101" spans="1:4" ht="16.5" customHeight="1">
      <c r="A101" s="282" t="s">
        <v>239</v>
      </c>
      <c r="B101" s="278"/>
      <c r="C101" s="264" t="e">
        <f>+B102+B103</f>
        <v>#REF!</v>
      </c>
      <c r="D101" s="268" t="e">
        <f>+C101/C105*100</f>
        <v>#REF!</v>
      </c>
    </row>
    <row r="102" spans="1:4" ht="15">
      <c r="A102" s="283" t="s">
        <v>226</v>
      </c>
      <c r="B102" s="277" t="e">
        <f>+#REF!</f>
        <v>#REF!</v>
      </c>
      <c r="C102" s="267"/>
      <c r="D102" s="270"/>
    </row>
    <row r="103" spans="1:4" ht="15">
      <c r="A103" s="283" t="s">
        <v>217</v>
      </c>
      <c r="B103" s="277" t="e">
        <f>+#REF!</f>
        <v>#REF!</v>
      </c>
      <c r="C103" s="267"/>
      <c r="D103" s="270"/>
    </row>
    <row r="104" spans="1:4" ht="15">
      <c r="A104" s="286"/>
      <c r="B104" s="269"/>
      <c r="C104" s="274"/>
      <c r="D104" s="270"/>
    </row>
    <row r="105" spans="1:4" ht="15">
      <c r="A105" s="271" t="s">
        <v>38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4.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139</v>
      </c>
      <c r="B1" s="296"/>
      <c r="C1" s="296"/>
      <c r="D1" s="296"/>
      <c r="E1" s="296"/>
      <c r="F1" s="296"/>
      <c r="G1" s="296"/>
      <c r="H1" s="296"/>
      <c r="I1" s="296"/>
      <c r="J1" s="296"/>
    </row>
    <row r="2" spans="1:10" ht="12.75" customHeight="1">
      <c r="A2" s="296" t="s">
        <v>219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118</v>
      </c>
      <c r="B4" s="40" t="s">
        <v>119</v>
      </c>
      <c r="C4" s="186" t="s">
        <v>120</v>
      </c>
      <c r="D4" s="235" t="s">
        <v>120</v>
      </c>
      <c r="E4" s="293" t="s">
        <v>244</v>
      </c>
      <c r="F4" s="293"/>
      <c r="G4" s="299" t="s">
        <v>218</v>
      </c>
      <c r="H4" s="40" t="s">
        <v>220</v>
      </c>
      <c r="I4" s="40" t="s">
        <v>98</v>
      </c>
      <c r="J4" s="297" t="s">
        <v>141</v>
      </c>
      <c r="K4" s="58"/>
    </row>
    <row r="5" spans="1:11" ht="15.75" thickBot="1">
      <c r="A5" s="55"/>
      <c r="B5" s="59"/>
      <c r="C5" s="108" t="s">
        <v>199</v>
      </c>
      <c r="D5" s="236" t="s">
        <v>94</v>
      </c>
      <c r="E5" s="294">
        <v>0.1</v>
      </c>
      <c r="F5" s="294">
        <v>0.06</v>
      </c>
      <c r="G5" s="41">
        <v>0.00966</v>
      </c>
      <c r="H5" s="220">
        <v>0.27022</v>
      </c>
      <c r="I5" s="298" t="s">
        <v>221</v>
      </c>
      <c r="J5" s="60" t="s">
        <v>93</v>
      </c>
      <c r="K5" s="58"/>
    </row>
    <row r="6" spans="1:11" ht="15.75" thickBot="1">
      <c r="A6" s="61" t="s">
        <v>122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124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127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131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138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699" t="s">
        <v>139</v>
      </c>
      <c r="B1" s="700"/>
      <c r="C1" s="700"/>
      <c r="D1" s="700"/>
      <c r="E1" s="700"/>
      <c r="F1" s="700"/>
      <c r="G1" s="700"/>
      <c r="H1" s="700"/>
      <c r="I1" s="700"/>
    </row>
    <row r="2" spans="1:8" ht="15.75" thickBot="1">
      <c r="A2" s="55"/>
      <c r="B2" s="56"/>
      <c r="C2" s="56"/>
      <c r="D2" s="56"/>
      <c r="E2" s="56"/>
      <c r="F2" s="56"/>
      <c r="G2" s="56"/>
      <c r="H2" s="56"/>
    </row>
    <row r="3" spans="1:8" s="58" customFormat="1" ht="14.25">
      <c r="A3" s="201" t="s">
        <v>118</v>
      </c>
      <c r="B3" s="40" t="s">
        <v>119</v>
      </c>
      <c r="C3" s="186" t="s">
        <v>120</v>
      </c>
      <c r="D3" s="40" t="s">
        <v>120</v>
      </c>
      <c r="E3" s="40" t="s">
        <v>140</v>
      </c>
      <c r="F3" s="40" t="s">
        <v>121</v>
      </c>
      <c r="G3" s="40" t="s">
        <v>140</v>
      </c>
      <c r="H3" s="57" t="s">
        <v>141</v>
      </c>
    </row>
    <row r="4" spans="1:8" s="58" customFormat="1" ht="15" customHeight="1" thickBot="1">
      <c r="A4" s="55"/>
      <c r="B4" s="59"/>
      <c r="C4" s="187" t="s">
        <v>199</v>
      </c>
      <c r="D4" s="59" t="s">
        <v>94</v>
      </c>
      <c r="E4" s="41" t="s">
        <v>142</v>
      </c>
      <c r="F4" s="41" t="s">
        <v>99</v>
      </c>
      <c r="G4" s="41" t="s">
        <v>99</v>
      </c>
      <c r="H4" s="60" t="s">
        <v>93</v>
      </c>
    </row>
    <row r="5" spans="1:10" s="58" customFormat="1" ht="15" customHeight="1" thickBot="1">
      <c r="A5" s="61" t="s">
        <v>122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58</v>
      </c>
      <c r="B6" s="209">
        <v>1</v>
      </c>
      <c r="C6" s="194">
        <v>3800000</v>
      </c>
      <c r="D6" s="67">
        <v>3800000</v>
      </c>
      <c r="E6" s="68">
        <f>+D6*0.04</f>
        <v>152000</v>
      </c>
      <c r="F6" s="69">
        <f>+D6*0.16</f>
        <v>608000</v>
      </c>
      <c r="G6" s="69">
        <f>+F6+E6+D6</f>
        <v>4560000</v>
      </c>
      <c r="H6" s="70">
        <f>+G6*12</f>
        <v>54720000</v>
      </c>
      <c r="J6" s="66"/>
    </row>
    <row r="7" spans="1:8" s="58" customFormat="1" ht="15" customHeight="1">
      <c r="A7" s="203" t="s">
        <v>123</v>
      </c>
      <c r="B7" s="210">
        <v>1</v>
      </c>
      <c r="C7" s="196">
        <v>3800000</v>
      </c>
      <c r="D7" s="67">
        <v>3800000</v>
      </c>
      <c r="E7" s="68">
        <f>+D7*0.04</f>
        <v>152000</v>
      </c>
      <c r="F7" s="69">
        <f>+D7*0.16</f>
        <v>608000</v>
      </c>
      <c r="G7" s="69">
        <f>+F7+E7+D7</f>
        <v>4560000</v>
      </c>
      <c r="H7" s="68">
        <f>+G7*12</f>
        <v>54720000</v>
      </c>
    </row>
    <row r="8" spans="1:8" s="58" customFormat="1" ht="15" customHeight="1">
      <c r="A8" s="203" t="s">
        <v>32</v>
      </c>
      <c r="B8" s="210">
        <v>1</v>
      </c>
      <c r="C8" s="196">
        <v>3800000</v>
      </c>
      <c r="D8" s="67">
        <v>3800000</v>
      </c>
      <c r="E8" s="68">
        <f>+D8*0.04</f>
        <v>152000</v>
      </c>
      <c r="F8" s="69">
        <f>+D8*0.16</f>
        <v>608000</v>
      </c>
      <c r="G8" s="69">
        <f>+F8+E8+D8</f>
        <v>4560000</v>
      </c>
      <c r="H8" s="68">
        <f>+G8*12</f>
        <v>54720000</v>
      </c>
    </row>
    <row r="9" spans="1:8" s="58" customFormat="1" ht="15" customHeight="1">
      <c r="A9" s="203" t="s">
        <v>33</v>
      </c>
      <c r="B9" s="210">
        <v>1</v>
      </c>
      <c r="C9" s="196">
        <v>3800000</v>
      </c>
      <c r="D9" s="67">
        <v>3800000</v>
      </c>
      <c r="E9" s="68">
        <f>+D9*0.04</f>
        <v>152000</v>
      </c>
      <c r="F9" s="69">
        <f>+D9*0.16</f>
        <v>608000</v>
      </c>
      <c r="G9" s="69">
        <f>+F9+E9+D9</f>
        <v>4560000</v>
      </c>
      <c r="H9" s="68">
        <f>+G9*12</f>
        <v>54720000</v>
      </c>
    </row>
    <row r="10" spans="1:8" s="72" customFormat="1" ht="15" customHeight="1" thickBot="1">
      <c r="A10" s="204" t="s">
        <v>26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124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125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37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35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27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126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36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127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128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143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196</v>
      </c>
      <c r="B21" s="211">
        <v>10</v>
      </c>
      <c r="C21" s="188">
        <v>400000</v>
      </c>
      <c r="D21" s="68">
        <f t="shared" si="7"/>
        <v>4000000</v>
      </c>
      <c r="E21" s="68">
        <v>0</v>
      </c>
      <c r="F21" s="69">
        <v>0</v>
      </c>
      <c r="G21" s="69">
        <f>+F21+E21+D21</f>
        <v>4000000</v>
      </c>
      <c r="H21" s="68">
        <f t="shared" si="10"/>
        <v>48000000</v>
      </c>
    </row>
    <row r="22" spans="1:8" s="72" customFormat="1" ht="15" customHeight="1">
      <c r="A22" s="205" t="s">
        <v>129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197</v>
      </c>
      <c r="B23" s="213">
        <v>3</v>
      </c>
      <c r="C23" s="188">
        <v>500000</v>
      </c>
      <c r="D23" s="68">
        <f t="shared" si="7"/>
        <v>1500000</v>
      </c>
      <c r="E23" s="68">
        <v>0</v>
      </c>
      <c r="F23" s="69">
        <v>0</v>
      </c>
      <c r="G23" s="69">
        <f>+F23+E23+D23</f>
        <v>1500000</v>
      </c>
      <c r="H23" s="68">
        <f t="shared" si="10"/>
        <v>18000000</v>
      </c>
    </row>
    <row r="24" spans="1:8" s="72" customFormat="1" ht="15" customHeight="1" thickBot="1">
      <c r="A24" s="204" t="s">
        <v>130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131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112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111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110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132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133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134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144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145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135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136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198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137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117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138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76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77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703" t="s">
        <v>78</v>
      </c>
      <c r="C5" s="96"/>
      <c r="D5" s="97"/>
      <c r="E5" s="98" t="s">
        <v>79</v>
      </c>
      <c r="F5" s="99" t="s">
        <v>80</v>
      </c>
      <c r="G5" s="100" t="s">
        <v>80</v>
      </c>
      <c r="H5" s="53" t="s">
        <v>81</v>
      </c>
      <c r="I5" s="101" t="s">
        <v>82</v>
      </c>
      <c r="J5" s="53" t="s">
        <v>83</v>
      </c>
      <c r="K5" s="701" t="s">
        <v>81</v>
      </c>
      <c r="L5" s="101" t="s">
        <v>84</v>
      </c>
      <c r="M5" s="101" t="s">
        <v>85</v>
      </c>
      <c r="N5" s="101" t="s">
        <v>86</v>
      </c>
      <c r="O5" s="53" t="s">
        <v>87</v>
      </c>
      <c r="P5" s="53" t="s">
        <v>88</v>
      </c>
      <c r="Q5" s="701" t="s">
        <v>89</v>
      </c>
      <c r="R5" s="701" t="s">
        <v>90</v>
      </c>
      <c r="S5" s="102" t="s">
        <v>91</v>
      </c>
      <c r="T5" s="101"/>
      <c r="U5" s="53">
        <v>0.12</v>
      </c>
      <c r="V5" s="53">
        <v>0.03</v>
      </c>
      <c r="W5" s="53">
        <v>0.02</v>
      </c>
      <c r="X5" s="53">
        <v>0.04</v>
      </c>
      <c r="Y5" s="53">
        <v>0.19397</v>
      </c>
      <c r="Z5" s="701" t="s">
        <v>28</v>
      </c>
      <c r="AA5" s="701" t="s">
        <v>92</v>
      </c>
      <c r="AB5" s="103" t="s">
        <v>93</v>
      </c>
      <c r="AC5" s="89" t="s">
        <v>94</v>
      </c>
      <c r="AD5" s="40" t="s">
        <v>95</v>
      </c>
      <c r="AE5" s="89" t="s">
        <v>94</v>
      </c>
      <c r="AF5" s="104"/>
      <c r="AG5" s="104"/>
      <c r="AH5" s="104"/>
      <c r="AI5" s="89" t="s">
        <v>93</v>
      </c>
    </row>
    <row r="6" spans="2:35" ht="15" thickBot="1">
      <c r="B6" s="704"/>
      <c r="C6" s="105"/>
      <c r="D6" s="105"/>
      <c r="E6" s="106" t="s">
        <v>96</v>
      </c>
      <c r="F6" s="106" t="s">
        <v>97</v>
      </c>
      <c r="G6" s="44" t="s">
        <v>99</v>
      </c>
      <c r="H6" s="44"/>
      <c r="I6" s="107"/>
      <c r="J6" s="44" t="s">
        <v>100</v>
      </c>
      <c r="K6" s="702"/>
      <c r="L6" s="107"/>
      <c r="M6" s="107"/>
      <c r="N6" s="44" t="s">
        <v>80</v>
      </c>
      <c r="O6" s="44"/>
      <c r="P6" s="44" t="s">
        <v>101</v>
      </c>
      <c r="Q6" s="702"/>
      <c r="R6" s="702"/>
      <c r="S6" s="44" t="s">
        <v>102</v>
      </c>
      <c r="T6" s="44" t="s">
        <v>103</v>
      </c>
      <c r="U6" s="44" t="s">
        <v>104</v>
      </c>
      <c r="V6" s="44" t="s">
        <v>105</v>
      </c>
      <c r="W6" s="44" t="s">
        <v>106</v>
      </c>
      <c r="X6" s="44" t="s">
        <v>107</v>
      </c>
      <c r="Y6" s="44" t="s">
        <v>108</v>
      </c>
      <c r="Z6" s="702"/>
      <c r="AA6" s="702"/>
      <c r="AB6" s="108">
        <v>2004</v>
      </c>
      <c r="AC6" s="41">
        <v>2004</v>
      </c>
      <c r="AD6" s="371">
        <v>0.05</v>
      </c>
      <c r="AE6" s="41">
        <v>2005</v>
      </c>
      <c r="AF6" s="34"/>
      <c r="AG6" s="34"/>
      <c r="AH6" s="34"/>
      <c r="AI6" s="41">
        <v>2005</v>
      </c>
    </row>
    <row r="7" spans="2:35" ht="15">
      <c r="B7" s="109" t="s">
        <v>146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109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160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161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109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162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163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110</v>
      </c>
      <c r="C14" s="116" t="s">
        <v>30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111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112</v>
      </c>
      <c r="C16" s="116" t="s">
        <v>30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113</v>
      </c>
      <c r="C17" s="116" t="s">
        <v>114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115</v>
      </c>
      <c r="C18" s="116" t="s">
        <v>30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116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117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164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98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sheetPr>
    <pageSetUpPr fitToPage="1"/>
  </sheetPr>
  <dimension ref="A1:AI626"/>
  <sheetViews>
    <sheetView zoomScale="75" zoomScaleNormal="75" zoomScalePageLayoutView="0" workbookViewId="0" topLeftCell="A1">
      <pane xSplit="1" ySplit="10" topLeftCell="B25" activePane="bottomRight" state="frozen"/>
      <selection pane="topLeft" activeCell="A1" sqref="A1"/>
      <selection pane="topRight" activeCell="B1" sqref="B1"/>
      <selection pane="bottomLeft" activeCell="A11" sqref="A11"/>
      <selection pane="bottomRight" activeCell="H39" sqref="H39"/>
    </sheetView>
  </sheetViews>
  <sheetFormatPr defaultColWidth="11.421875" defaultRowHeight="12.75" outlineLevelRow="1" outlineLevelCol="2"/>
  <cols>
    <col min="1" max="1" width="38.28125" style="456" customWidth="1"/>
    <col min="2" max="2" width="19.8515625" style="456" customWidth="1"/>
    <col min="3" max="3" width="17.8515625" style="456" hidden="1" customWidth="1" outlineLevel="1"/>
    <col min="4" max="4" width="19.00390625" style="456" hidden="1" customWidth="1" outlineLevel="1"/>
    <col min="5" max="7" width="18.7109375" style="456" hidden="1" customWidth="1" outlineLevel="1"/>
    <col min="8" max="8" width="20.57421875" style="454" customWidth="1" collapsed="1"/>
    <col min="9" max="9" width="22.00390625" style="454" hidden="1" customWidth="1" outlineLevel="2"/>
    <col min="10" max="10" width="20.57421875" style="454" hidden="1" customWidth="1" outlineLevel="2"/>
    <col min="11" max="11" width="28.00390625" style="454" hidden="1" customWidth="1" outlineLevel="1"/>
    <col min="12" max="12" width="22.57421875" style="454" hidden="1" customWidth="1" outlineLevel="2" collapsed="1"/>
    <col min="13" max="13" width="20.421875" style="454" hidden="1" customWidth="1" outlineLevel="2"/>
    <col min="14" max="14" width="29.8515625" style="454" hidden="1" customWidth="1" outlineLevel="1" collapsed="1"/>
    <col min="15" max="15" width="20.28125" style="454" hidden="1" customWidth="1" outlineLevel="2"/>
    <col min="16" max="16" width="17.7109375" style="454" hidden="1" customWidth="1" outlineLevel="2"/>
    <col min="17" max="17" width="29.140625" style="454" hidden="1" customWidth="1" outlineLevel="1" collapsed="1"/>
    <col min="18" max="18" width="31.00390625" style="454" hidden="1" customWidth="1" outlineLevel="2"/>
    <col min="19" max="19" width="29.8515625" style="454" hidden="1" customWidth="1" outlineLevel="2"/>
    <col min="20" max="20" width="29.8515625" style="454" hidden="1" customWidth="1" outlineLevel="1" collapsed="1"/>
    <col min="21" max="21" width="20.140625" style="454" hidden="1" customWidth="1" collapsed="1"/>
    <col min="22" max="22" width="21.7109375" style="454" hidden="1" customWidth="1" outlineLevel="1"/>
    <col min="23" max="23" width="18.57421875" style="454" hidden="1" customWidth="1" outlineLevel="1"/>
    <col min="24" max="26" width="18.00390625" style="454" hidden="1" customWidth="1" outlineLevel="1"/>
    <col min="27" max="27" width="18.7109375" style="454" customWidth="1" collapsed="1"/>
    <col min="28" max="28" width="19.8515625" style="454" customWidth="1"/>
    <col min="29" max="29" width="25.57421875" style="454" hidden="1" customWidth="1" outlineLevel="1"/>
    <col min="30" max="30" width="23.57421875" style="454" hidden="1" customWidth="1" outlineLevel="1"/>
    <col min="31" max="31" width="31.8515625" style="454" hidden="1" customWidth="1" outlineLevel="1"/>
    <col min="32" max="32" width="29.8515625" style="454" hidden="1" customWidth="1" outlineLevel="1"/>
    <col min="33" max="33" width="10.57421875" style="454" customWidth="1" collapsed="1"/>
    <col min="34" max="34" width="18.28125" style="454" bestFit="1" customWidth="1"/>
    <col min="35" max="35" width="15.57421875" style="454" bestFit="1" customWidth="1"/>
    <col min="36" max="36" width="13.421875" style="454" bestFit="1" customWidth="1"/>
    <col min="37" max="54" width="11.421875" style="454" customWidth="1"/>
    <col min="55" max="16384" width="11.421875" style="456" customWidth="1"/>
  </cols>
  <sheetData>
    <row r="1" spans="1:8" ht="15">
      <c r="A1" s="453"/>
      <c r="B1" s="453"/>
      <c r="C1" s="453"/>
      <c r="D1" s="453"/>
      <c r="E1" s="453"/>
      <c r="F1" s="453"/>
      <c r="G1" s="453"/>
      <c r="H1" s="453"/>
    </row>
    <row r="2" spans="1:33" ht="15">
      <c r="A2" s="717" t="s">
        <v>55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row>
    <row r="3" spans="1:33" ht="15">
      <c r="A3" s="717" t="s">
        <v>51</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row>
    <row r="4" spans="1:33" ht="15">
      <c r="A4" s="717" t="s">
        <v>434</v>
      </c>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row>
    <row r="5" spans="1:33" ht="15">
      <c r="A5" s="717"/>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row>
    <row r="6" spans="1:33" ht="15">
      <c r="A6" s="717"/>
      <c r="B6" s="717"/>
      <c r="C6" s="717"/>
      <c r="D6" s="717"/>
      <c r="E6" s="717"/>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row>
    <row r="7" spans="1:8" ht="15.75" thickBot="1">
      <c r="A7" s="457"/>
      <c r="B7" s="457"/>
      <c r="C7" s="457"/>
      <c r="D7" s="457"/>
      <c r="E7" s="457"/>
      <c r="F7" s="457"/>
      <c r="G7" s="457"/>
      <c r="H7" s="457"/>
    </row>
    <row r="8" spans="1:33" ht="15">
      <c r="A8" s="708" t="s">
        <v>29</v>
      </c>
      <c r="B8" s="549" t="s">
        <v>166</v>
      </c>
      <c r="C8" s="711" t="s">
        <v>379</v>
      </c>
      <c r="D8" s="711" t="s">
        <v>380</v>
      </c>
      <c r="E8" s="711" t="s">
        <v>381</v>
      </c>
      <c r="F8" s="711" t="s">
        <v>382</v>
      </c>
      <c r="G8" s="711" t="s">
        <v>383</v>
      </c>
      <c r="H8" s="549" t="s">
        <v>166</v>
      </c>
      <c r="I8" s="458" t="s">
        <v>309</v>
      </c>
      <c r="J8" s="705" t="s">
        <v>435</v>
      </c>
      <c r="K8" s="458" t="s">
        <v>310</v>
      </c>
      <c r="L8" s="458" t="s">
        <v>309</v>
      </c>
      <c r="M8" s="705" t="s">
        <v>436</v>
      </c>
      <c r="N8" s="458" t="s">
        <v>310</v>
      </c>
      <c r="O8" s="458" t="s">
        <v>309</v>
      </c>
      <c r="P8" s="705" t="s">
        <v>437</v>
      </c>
      <c r="Q8" s="458" t="s">
        <v>311</v>
      </c>
      <c r="R8" s="458" t="s">
        <v>309</v>
      </c>
      <c r="S8" s="705" t="s">
        <v>438</v>
      </c>
      <c r="T8" s="458" t="s">
        <v>311</v>
      </c>
      <c r="U8" s="458" t="s">
        <v>98</v>
      </c>
      <c r="V8" s="458" t="s">
        <v>312</v>
      </c>
      <c r="W8" s="458" t="s">
        <v>312</v>
      </c>
      <c r="X8" s="458" t="s">
        <v>312</v>
      </c>
      <c r="Y8" s="458" t="s">
        <v>312</v>
      </c>
      <c r="Z8" s="458" t="s">
        <v>453</v>
      </c>
      <c r="AA8" s="549" t="s">
        <v>312</v>
      </c>
      <c r="AB8" s="705" t="s">
        <v>455</v>
      </c>
      <c r="AC8" s="458" t="s">
        <v>313</v>
      </c>
      <c r="AD8" s="458" t="s">
        <v>313</v>
      </c>
      <c r="AE8" s="458" t="s">
        <v>313</v>
      </c>
      <c r="AF8" s="458" t="s">
        <v>313</v>
      </c>
      <c r="AG8" s="714" t="s">
        <v>456</v>
      </c>
    </row>
    <row r="9" spans="1:33" ht="15">
      <c r="A9" s="709"/>
      <c r="B9" s="550" t="s">
        <v>314</v>
      </c>
      <c r="C9" s="712"/>
      <c r="D9" s="712"/>
      <c r="E9" s="712"/>
      <c r="F9" s="712"/>
      <c r="G9" s="712"/>
      <c r="H9" s="550" t="s">
        <v>439</v>
      </c>
      <c r="I9" s="459" t="s">
        <v>315</v>
      </c>
      <c r="J9" s="706"/>
      <c r="K9" s="551" t="s">
        <v>315</v>
      </c>
      <c r="L9" s="459" t="s">
        <v>316</v>
      </c>
      <c r="M9" s="706"/>
      <c r="N9" s="459" t="s">
        <v>316</v>
      </c>
      <c r="O9" s="459" t="s">
        <v>317</v>
      </c>
      <c r="P9" s="706"/>
      <c r="Q9" s="459" t="s">
        <v>317</v>
      </c>
      <c r="R9" s="459" t="s">
        <v>318</v>
      </c>
      <c r="S9" s="706"/>
      <c r="T9" s="459" t="s">
        <v>318</v>
      </c>
      <c r="U9" s="459" t="s">
        <v>309</v>
      </c>
      <c r="V9" s="459" t="s">
        <v>315</v>
      </c>
      <c r="W9" s="459" t="s">
        <v>316</v>
      </c>
      <c r="X9" s="459" t="s">
        <v>440</v>
      </c>
      <c r="Y9" s="459" t="s">
        <v>441</v>
      </c>
      <c r="Z9" s="459" t="s">
        <v>442</v>
      </c>
      <c r="AA9" s="550" t="s">
        <v>454</v>
      </c>
      <c r="AB9" s="706"/>
      <c r="AC9" s="459" t="s">
        <v>315</v>
      </c>
      <c r="AD9" s="459" t="s">
        <v>316</v>
      </c>
      <c r="AE9" s="459" t="s">
        <v>317</v>
      </c>
      <c r="AF9" s="459" t="s">
        <v>318</v>
      </c>
      <c r="AG9" s="715"/>
    </row>
    <row r="10" spans="1:33" ht="15.75" thickBot="1">
      <c r="A10" s="710"/>
      <c r="B10" s="552" t="s">
        <v>443</v>
      </c>
      <c r="C10" s="713"/>
      <c r="D10" s="713"/>
      <c r="E10" s="713"/>
      <c r="F10" s="713"/>
      <c r="G10" s="713"/>
      <c r="H10" s="552" t="s">
        <v>443</v>
      </c>
      <c r="I10" s="460" t="s">
        <v>443</v>
      </c>
      <c r="J10" s="707"/>
      <c r="K10" s="553" t="s">
        <v>443</v>
      </c>
      <c r="L10" s="460" t="s">
        <v>443</v>
      </c>
      <c r="M10" s="707"/>
      <c r="N10" s="460" t="s">
        <v>443</v>
      </c>
      <c r="O10" s="460" t="s">
        <v>443</v>
      </c>
      <c r="P10" s="707"/>
      <c r="Q10" s="460" t="s">
        <v>443</v>
      </c>
      <c r="R10" s="460" t="s">
        <v>443</v>
      </c>
      <c r="S10" s="707"/>
      <c r="T10" s="460" t="s">
        <v>443</v>
      </c>
      <c r="U10" s="460" t="s">
        <v>319</v>
      </c>
      <c r="V10" s="460" t="s">
        <v>443</v>
      </c>
      <c r="W10" s="460" t="s">
        <v>443</v>
      </c>
      <c r="X10" s="460" t="s">
        <v>443</v>
      </c>
      <c r="Y10" s="460" t="s">
        <v>443</v>
      </c>
      <c r="Z10" s="460" t="s">
        <v>444</v>
      </c>
      <c r="AA10" s="552" t="s">
        <v>443</v>
      </c>
      <c r="AB10" s="707"/>
      <c r="AC10" s="460"/>
      <c r="AD10" s="460"/>
      <c r="AE10" s="460"/>
      <c r="AF10" s="460"/>
      <c r="AG10" s="716"/>
    </row>
    <row r="11" spans="1:33" ht="15">
      <c r="A11" s="461" t="s">
        <v>320</v>
      </c>
      <c r="B11" s="554">
        <f aca="true" t="shared" si="0" ref="B11:Z11">+B13+B17+B21</f>
        <v>9804351505.062569</v>
      </c>
      <c r="C11" s="555">
        <f t="shared" si="0"/>
        <v>222695456</v>
      </c>
      <c r="D11" s="555">
        <f t="shared" si="0"/>
        <v>0</v>
      </c>
      <c r="E11" s="555">
        <f t="shared" si="0"/>
        <v>495154383</v>
      </c>
      <c r="F11" s="555">
        <f t="shared" si="0"/>
        <v>0</v>
      </c>
      <c r="G11" s="555">
        <f t="shared" si="0"/>
        <v>0</v>
      </c>
      <c r="H11" s="463">
        <f t="shared" si="0"/>
        <v>10522201344.062569</v>
      </c>
      <c r="I11" s="556">
        <f t="shared" si="0"/>
        <v>2226846155</v>
      </c>
      <c r="J11" s="556">
        <f t="shared" si="0"/>
        <v>-795585113</v>
      </c>
      <c r="K11" s="556">
        <f t="shared" si="0"/>
        <v>1431261042</v>
      </c>
      <c r="L11" s="556">
        <f t="shared" si="0"/>
        <v>2288157805</v>
      </c>
      <c r="M11" s="556">
        <f t="shared" si="0"/>
        <v>-182605768</v>
      </c>
      <c r="N11" s="556">
        <f t="shared" si="0"/>
        <v>2105552037</v>
      </c>
      <c r="O11" s="556">
        <f t="shared" si="0"/>
        <v>2888136821</v>
      </c>
      <c r="P11" s="556">
        <f t="shared" si="0"/>
        <v>-451303853</v>
      </c>
      <c r="Q11" s="556">
        <f t="shared" si="0"/>
        <v>2436832968</v>
      </c>
      <c r="R11" s="556">
        <f t="shared" si="0"/>
        <v>4548555297.062568</v>
      </c>
      <c r="S11" s="556">
        <f t="shared" si="0"/>
        <v>0</v>
      </c>
      <c r="T11" s="556">
        <f t="shared" si="0"/>
        <v>4548555297.062568</v>
      </c>
      <c r="U11" s="556">
        <f t="shared" si="0"/>
        <v>10522201344.062569</v>
      </c>
      <c r="V11" s="557">
        <f t="shared" si="0"/>
        <v>1431261042</v>
      </c>
      <c r="W11" s="462">
        <f t="shared" si="0"/>
        <v>2105552036</v>
      </c>
      <c r="X11" s="462">
        <f t="shared" si="0"/>
        <v>2436832967.75</v>
      </c>
      <c r="Y11" s="462">
        <f t="shared" si="0"/>
        <v>4646161084.308719</v>
      </c>
      <c r="Z11" s="462">
        <f t="shared" si="0"/>
        <v>0</v>
      </c>
      <c r="AA11" s="464">
        <f>+V11+W11+X11+Y11+Z11</f>
        <v>10619807130.05872</v>
      </c>
      <c r="AB11" s="464">
        <f>+AA11-H11</f>
        <v>97605785.99615097</v>
      </c>
      <c r="AC11" s="558">
        <f>+V11/I11</f>
        <v>0.6427300955597447</v>
      </c>
      <c r="AD11" s="559"/>
      <c r="AE11" s="559"/>
      <c r="AF11" s="559"/>
      <c r="AG11" s="560"/>
    </row>
    <row r="12" spans="1:33" ht="13.5" customHeight="1">
      <c r="A12" s="465"/>
      <c r="B12" s="561"/>
      <c r="C12" s="562"/>
      <c r="D12" s="562"/>
      <c r="E12" s="562"/>
      <c r="F12" s="562"/>
      <c r="G12" s="562"/>
      <c r="H12" s="466"/>
      <c r="I12" s="563"/>
      <c r="J12" s="563"/>
      <c r="K12" s="563"/>
      <c r="L12" s="563"/>
      <c r="M12" s="563"/>
      <c r="N12" s="563"/>
      <c r="O12" s="563"/>
      <c r="P12" s="563"/>
      <c r="Q12" s="563"/>
      <c r="R12" s="563"/>
      <c r="S12" s="563"/>
      <c r="T12" s="563"/>
      <c r="U12" s="564">
        <f>+K12+N12+Q12+T12</f>
        <v>0</v>
      </c>
      <c r="V12" s="565"/>
      <c r="W12" s="466"/>
      <c r="X12" s="466"/>
      <c r="Y12" s="466"/>
      <c r="Z12" s="466"/>
      <c r="AA12" s="466"/>
      <c r="AB12" s="466"/>
      <c r="AC12" s="566"/>
      <c r="AD12" s="567"/>
      <c r="AE12" s="567"/>
      <c r="AF12" s="567"/>
      <c r="AG12" s="568"/>
    </row>
    <row r="13" spans="1:33" ht="15">
      <c r="A13" s="467" t="s">
        <v>321</v>
      </c>
      <c r="B13" s="569">
        <f>+B14+CUOTAPPC2005</f>
        <v>7908932606.753849</v>
      </c>
      <c r="C13" s="555">
        <f aca="true" t="shared" si="1" ref="C13:U13">+SUM(C14:C15)</f>
        <v>0</v>
      </c>
      <c r="D13" s="555">
        <f t="shared" si="1"/>
        <v>0</v>
      </c>
      <c r="E13" s="555">
        <f t="shared" si="1"/>
        <v>495154383</v>
      </c>
      <c r="F13" s="555">
        <f t="shared" si="1"/>
        <v>0</v>
      </c>
      <c r="G13" s="555">
        <f t="shared" si="1"/>
        <v>0</v>
      </c>
      <c r="H13" s="463">
        <f t="shared" si="1"/>
        <v>8404086989.753849</v>
      </c>
      <c r="I13" s="463">
        <f t="shared" si="1"/>
        <v>1699346155</v>
      </c>
      <c r="J13" s="570">
        <f t="shared" si="1"/>
        <v>-525114975</v>
      </c>
      <c r="K13" s="463">
        <f t="shared" si="1"/>
        <v>1174231180</v>
      </c>
      <c r="L13" s="463">
        <f t="shared" si="1"/>
        <v>1919040134</v>
      </c>
      <c r="M13" s="463">
        <f t="shared" si="1"/>
        <v>108539244</v>
      </c>
      <c r="N13" s="463">
        <f t="shared" si="1"/>
        <v>2027579378</v>
      </c>
      <c r="O13" s="463">
        <f t="shared" si="1"/>
        <v>2088826015</v>
      </c>
      <c r="P13" s="463">
        <f t="shared" si="1"/>
        <v>-78649761</v>
      </c>
      <c r="Q13" s="463">
        <f t="shared" si="1"/>
        <v>2010176254</v>
      </c>
      <c r="R13" s="463">
        <f t="shared" si="1"/>
        <v>3192100177.753849</v>
      </c>
      <c r="S13" s="463">
        <f t="shared" si="1"/>
        <v>0</v>
      </c>
      <c r="T13" s="463">
        <f t="shared" si="1"/>
        <v>3192100177.753849</v>
      </c>
      <c r="U13" s="463">
        <f t="shared" si="1"/>
        <v>8404086989.753849</v>
      </c>
      <c r="V13" s="571">
        <f>+V14+V15</f>
        <v>1174231180</v>
      </c>
      <c r="W13" s="468">
        <f>+W14+W15</f>
        <v>2027579377</v>
      </c>
      <c r="X13" s="468">
        <f>+X14+X15</f>
        <v>2010176253.75</v>
      </c>
      <c r="Y13" s="468">
        <f>+Y14+Y15</f>
        <v>3293081529</v>
      </c>
      <c r="Z13" s="468">
        <f>+Z14+Z15</f>
        <v>0</v>
      </c>
      <c r="AA13" s="468">
        <f>+V13+W13+X13+Y13+Z13</f>
        <v>8505068339.75</v>
      </c>
      <c r="AB13" s="468">
        <f>+AA13-H13</f>
        <v>100981349.99615097</v>
      </c>
      <c r="AC13" s="572"/>
      <c r="AD13" s="573"/>
      <c r="AE13" s="573"/>
      <c r="AF13" s="573"/>
      <c r="AG13" s="574"/>
    </row>
    <row r="14" spans="1:34" ht="15">
      <c r="A14" s="465" t="s">
        <v>322</v>
      </c>
      <c r="B14" s="561">
        <f>+'[5]Anexo 1 Minagricultura'!$D$14</f>
        <v>5931699455.065387</v>
      </c>
      <c r="C14" s="562"/>
      <c r="D14" s="562"/>
      <c r="E14" s="562">
        <v>371365787</v>
      </c>
      <c r="F14" s="562">
        <v>0</v>
      </c>
      <c r="G14" s="562">
        <v>0</v>
      </c>
      <c r="H14" s="466">
        <f>+SUM(B14:F14)</f>
        <v>6303065242.065387</v>
      </c>
      <c r="I14" s="564">
        <f>+'[6]Anexo 1 Minagricultura'!$B$14</f>
        <v>1274509616.25</v>
      </c>
      <c r="J14" s="575">
        <v>-387441841</v>
      </c>
      <c r="K14" s="564">
        <f>+I14+J14</f>
        <v>887067775.25</v>
      </c>
      <c r="L14" s="564">
        <f>+'[7]Anexo 1 Minagricultura'!$B$14</f>
        <v>1439280100.5</v>
      </c>
      <c r="M14" s="564">
        <v>75010041</v>
      </c>
      <c r="N14" s="564">
        <f>+L14+M14</f>
        <v>1514290141.5</v>
      </c>
      <c r="O14" s="564">
        <f>+(608455*3433)*75%</f>
        <v>1566619511.25</v>
      </c>
      <c r="P14" s="564">
        <v>71581496</v>
      </c>
      <c r="Q14" s="576">
        <f>+SUM(O14:P14)</f>
        <v>1638201007.25</v>
      </c>
      <c r="R14" s="564">
        <f>+H14-K14-N14-Q14</f>
        <v>2263506318.065387</v>
      </c>
      <c r="S14" s="564"/>
      <c r="T14" s="576">
        <f>+SUM(R14:S14)</f>
        <v>2263506318.065387</v>
      </c>
      <c r="U14" s="564">
        <f>+K14+N14+Q14+T14</f>
        <v>6303065242.065387</v>
      </c>
      <c r="V14" s="565">
        <v>887067775</v>
      </c>
      <c r="W14" s="466">
        <f>1696139243-181849102</f>
        <v>1514290141</v>
      </c>
      <c r="X14" s="565">
        <v>1638201007</v>
      </c>
      <c r="Y14" s="565">
        <v>2337016435</v>
      </c>
      <c r="Z14" s="565"/>
      <c r="AA14" s="577">
        <f>+V14+W14+X14+Y14+Z14</f>
        <v>6376575358</v>
      </c>
      <c r="AB14" s="466">
        <f>+AA14-H14</f>
        <v>73510115.93461323</v>
      </c>
      <c r="AC14" s="566">
        <f>+V14/I14</f>
        <v>0.6960071259485877</v>
      </c>
      <c r="AD14" s="567"/>
      <c r="AE14" s="567"/>
      <c r="AF14" s="567"/>
      <c r="AG14" s="560">
        <f>+AA14/H14</f>
        <v>1.011662597975985</v>
      </c>
      <c r="AH14" s="578"/>
    </row>
    <row r="15" spans="1:35" ht="15">
      <c r="A15" s="465" t="s">
        <v>323</v>
      </c>
      <c r="B15" s="561">
        <f>+[5]!CUOTAPPC2005</f>
        <v>1977233151.6884623</v>
      </c>
      <c r="C15" s="562"/>
      <c r="D15" s="562"/>
      <c r="E15" s="562">
        <v>123788596</v>
      </c>
      <c r="F15" s="562">
        <v>0</v>
      </c>
      <c r="G15" s="562">
        <v>0</v>
      </c>
      <c r="H15" s="466">
        <f>+SUM(B15:F15)</f>
        <v>2101021747.6884623</v>
      </c>
      <c r="I15" s="564">
        <f>+'[6]Anexo 1 Minagricultura'!$B$15</f>
        <v>424836538.75</v>
      </c>
      <c r="J15" s="575">
        <v>-137673134</v>
      </c>
      <c r="K15" s="564">
        <f>+I15+J15</f>
        <v>287163404.75</v>
      </c>
      <c r="L15" s="564">
        <f>+'[7]Anexo 1 Minagricultura'!$B$15</f>
        <v>479760033.5</v>
      </c>
      <c r="M15" s="564">
        <v>33529203</v>
      </c>
      <c r="N15" s="564">
        <f>+L15+M15</f>
        <v>513289236.5</v>
      </c>
      <c r="O15" s="564">
        <f>+(608455*3433)*25%</f>
        <v>522206503.75</v>
      </c>
      <c r="P15" s="564">
        <v>-150231257</v>
      </c>
      <c r="Q15" s="576">
        <f>+SUM(O15:P15)</f>
        <v>371975246.75</v>
      </c>
      <c r="R15" s="564">
        <f>+H15-K15-N15-Q15</f>
        <v>928593859.6884623</v>
      </c>
      <c r="S15" s="564"/>
      <c r="T15" s="576">
        <f>+SUM(R15:S15)</f>
        <v>928593859.6884623</v>
      </c>
      <c r="U15" s="564">
        <f>+K15+N15+Q15+T15</f>
        <v>2101021747.6884623</v>
      </c>
      <c r="V15" s="565">
        <v>287163405</v>
      </c>
      <c r="W15" s="466">
        <f>513580250-291014</f>
        <v>513289236</v>
      </c>
      <c r="X15" s="565">
        <v>371975246.75</v>
      </c>
      <c r="Y15" s="565">
        <f>1211225304-255160210</f>
        <v>956065094</v>
      </c>
      <c r="Z15" s="565"/>
      <c r="AA15" s="577">
        <f>+V15+W15+X15+Y15+Z15</f>
        <v>2128492981.75</v>
      </c>
      <c r="AB15" s="466">
        <f>+AA15-H15</f>
        <v>27471234.061537743</v>
      </c>
      <c r="AC15" s="566">
        <f>+V15/I15</f>
        <v>0.6759385759165707</v>
      </c>
      <c r="AD15" s="567"/>
      <c r="AE15" s="567"/>
      <c r="AF15" s="567"/>
      <c r="AG15" s="560">
        <f>+AA15/H15</f>
        <v>1.0130751783468026</v>
      </c>
      <c r="AH15" s="579"/>
      <c r="AI15" s="578"/>
    </row>
    <row r="16" spans="1:34" ht="15">
      <c r="A16" s="465"/>
      <c r="B16" s="561"/>
      <c r="C16" s="562"/>
      <c r="D16" s="562"/>
      <c r="E16" s="562"/>
      <c r="F16" s="562"/>
      <c r="G16" s="562"/>
      <c r="H16" s="466"/>
      <c r="I16" s="564"/>
      <c r="J16" s="564"/>
      <c r="K16" s="564"/>
      <c r="L16" s="564"/>
      <c r="M16" s="564"/>
      <c r="N16" s="564">
        <f>+L16+M16</f>
        <v>0</v>
      </c>
      <c r="O16" s="564"/>
      <c r="P16" s="564"/>
      <c r="Q16" s="564"/>
      <c r="R16" s="564"/>
      <c r="S16" s="564"/>
      <c r="T16" s="564"/>
      <c r="U16" s="564">
        <f>+K16+N16+Q16+T16</f>
        <v>0</v>
      </c>
      <c r="V16" s="565"/>
      <c r="W16" s="466"/>
      <c r="X16" s="565"/>
      <c r="Y16" s="565"/>
      <c r="Z16" s="565"/>
      <c r="AA16" s="466"/>
      <c r="AB16" s="466"/>
      <c r="AC16" s="566"/>
      <c r="AD16" s="567"/>
      <c r="AE16" s="567"/>
      <c r="AF16" s="567"/>
      <c r="AG16" s="560"/>
      <c r="AH16" s="580"/>
    </row>
    <row r="17" spans="1:33" ht="15">
      <c r="A17" s="469" t="s">
        <v>324</v>
      </c>
      <c r="B17" s="581">
        <f>+B18+B19</f>
        <v>110000000</v>
      </c>
      <c r="C17" s="555">
        <f aca="true" t="shared" si="2" ref="C17:N17">+SUM(C18:C19)</f>
        <v>0</v>
      </c>
      <c r="D17" s="555">
        <f t="shared" si="2"/>
        <v>0</v>
      </c>
      <c r="E17" s="555">
        <f t="shared" si="2"/>
        <v>0</v>
      </c>
      <c r="F17" s="555">
        <f t="shared" si="2"/>
        <v>0</v>
      </c>
      <c r="G17" s="555">
        <f t="shared" si="2"/>
        <v>0</v>
      </c>
      <c r="H17" s="463">
        <f t="shared" si="2"/>
        <v>110000000</v>
      </c>
      <c r="I17" s="563">
        <f t="shared" si="2"/>
        <v>27500000</v>
      </c>
      <c r="J17" s="563">
        <f t="shared" si="2"/>
        <v>59971239</v>
      </c>
      <c r="K17" s="563">
        <f t="shared" si="2"/>
        <v>87471239</v>
      </c>
      <c r="L17" s="563">
        <f t="shared" si="2"/>
        <v>27500000</v>
      </c>
      <c r="M17" s="563">
        <f t="shared" si="2"/>
        <v>-22420651</v>
      </c>
      <c r="N17" s="563">
        <f t="shared" si="2"/>
        <v>5079349</v>
      </c>
      <c r="O17" s="563">
        <f>+O18+O19</f>
        <v>4000000</v>
      </c>
      <c r="P17" s="563">
        <f>+P18+P19</f>
        <v>637127</v>
      </c>
      <c r="Q17" s="563">
        <f aca="true" t="shared" si="3" ref="Q17:V17">+SUM(Q18:Q19)</f>
        <v>4637127</v>
      </c>
      <c r="R17" s="563">
        <f t="shared" si="3"/>
        <v>12812285</v>
      </c>
      <c r="S17" s="563">
        <f t="shared" si="3"/>
        <v>0</v>
      </c>
      <c r="T17" s="563">
        <f t="shared" si="3"/>
        <v>12812285</v>
      </c>
      <c r="U17" s="563">
        <f t="shared" si="3"/>
        <v>110000000</v>
      </c>
      <c r="V17" s="582">
        <f t="shared" si="3"/>
        <v>87471239</v>
      </c>
      <c r="W17" s="463">
        <f>+W18+W19</f>
        <v>5079349</v>
      </c>
      <c r="X17" s="463">
        <f>+X18+X19</f>
        <v>4637127</v>
      </c>
      <c r="Y17" s="463">
        <f>+Y18+Y19</f>
        <v>9436721</v>
      </c>
      <c r="Z17" s="463"/>
      <c r="AA17" s="463">
        <f>+V17+W17+X17+Y17+Z17</f>
        <v>106624436</v>
      </c>
      <c r="AB17" s="463">
        <f>+H17-AA17</f>
        <v>3375564</v>
      </c>
      <c r="AC17" s="566">
        <f>+V17/I17</f>
        <v>3.1807723272727273</v>
      </c>
      <c r="AD17" s="583"/>
      <c r="AE17" s="583"/>
      <c r="AF17" s="583"/>
      <c r="AG17" s="560">
        <f>+AA17/H17</f>
        <v>0.9693130545454546</v>
      </c>
    </row>
    <row r="18" spans="1:34" ht="15">
      <c r="A18" s="465" t="s">
        <v>322</v>
      </c>
      <c r="B18" s="561">
        <f>+'[5]Anexo 1 Minagricultura'!$D$18</f>
        <v>82500000</v>
      </c>
      <c r="C18" s="562"/>
      <c r="D18" s="562"/>
      <c r="E18" s="562"/>
      <c r="F18" s="562"/>
      <c r="G18" s="562"/>
      <c r="H18" s="466">
        <f>+SUM(B18:F18)</f>
        <v>82500000</v>
      </c>
      <c r="I18" s="564">
        <f>+'[6]Anexo 1 Minagricultura'!$B$18</f>
        <v>20625000</v>
      </c>
      <c r="J18" s="564">
        <v>44978429</v>
      </c>
      <c r="K18" s="564">
        <f>+I18+J18</f>
        <v>65603429</v>
      </c>
      <c r="L18" s="564">
        <f>+'[7]Anexo 1 Minagricultura'!$B$18</f>
        <v>20625000</v>
      </c>
      <c r="M18" s="564">
        <v>-16815489</v>
      </c>
      <c r="N18" s="564">
        <f>+L18+M18</f>
        <v>3809511</v>
      </c>
      <c r="O18" s="564">
        <v>3000000</v>
      </c>
      <c r="P18" s="564">
        <v>476808</v>
      </c>
      <c r="Q18" s="576">
        <f>+SUM(O18:P18)</f>
        <v>3476808</v>
      </c>
      <c r="R18" s="564">
        <f>+H18-K18-N18-Q18</f>
        <v>9610252</v>
      </c>
      <c r="S18" s="564"/>
      <c r="T18" s="576">
        <f>+SUM(R18:S18)</f>
        <v>9610252</v>
      </c>
      <c r="U18" s="564">
        <f>+K18+N18+Q18+T18</f>
        <v>82500000</v>
      </c>
      <c r="V18" s="565">
        <v>65603429</v>
      </c>
      <c r="W18" s="466">
        <f>4536584-727073</f>
        <v>3809511</v>
      </c>
      <c r="X18" s="565">
        <v>3476808</v>
      </c>
      <c r="Y18" s="565">
        <v>8198367</v>
      </c>
      <c r="Z18" s="565"/>
      <c r="AA18" s="577">
        <f>+V18+W18+X18+Y18+Z18</f>
        <v>81088115</v>
      </c>
      <c r="AB18" s="466">
        <f>+AA18-H18</f>
        <v>-1411885</v>
      </c>
      <c r="AC18" s="566">
        <f>+V18/I18</f>
        <v>3.1807723151515153</v>
      </c>
      <c r="AD18" s="567"/>
      <c r="AE18" s="567"/>
      <c r="AF18" s="567"/>
      <c r="AG18" s="560">
        <f>+AA18/H18</f>
        <v>0.9828862424242424</v>
      </c>
      <c r="AH18" s="584"/>
    </row>
    <row r="19" spans="1:33" ht="15">
      <c r="A19" s="465" t="s">
        <v>323</v>
      </c>
      <c r="B19" s="561">
        <f>+'[5]Anexo 1 Minagricultura'!$D$19</f>
        <v>27500000</v>
      </c>
      <c r="C19" s="562"/>
      <c r="D19" s="562"/>
      <c r="E19" s="562"/>
      <c r="F19" s="562"/>
      <c r="G19" s="562"/>
      <c r="H19" s="466">
        <f>+SUM(B19:F19)</f>
        <v>27500000</v>
      </c>
      <c r="I19" s="564">
        <f>+'[6]Anexo 1 Minagricultura'!$B$19</f>
        <v>6875000</v>
      </c>
      <c r="J19" s="564">
        <v>14992810</v>
      </c>
      <c r="K19" s="564">
        <f>+I19+J19</f>
        <v>21867810</v>
      </c>
      <c r="L19" s="564">
        <f>+'[7]Anexo 1 Minagricultura'!$B$19</f>
        <v>6875000</v>
      </c>
      <c r="M19" s="564">
        <v>-5605162</v>
      </c>
      <c r="N19" s="564">
        <f>+L19+M19</f>
        <v>1269838</v>
      </c>
      <c r="O19" s="564">
        <v>1000000</v>
      </c>
      <c r="P19" s="564">
        <v>160319</v>
      </c>
      <c r="Q19" s="576">
        <f>+SUM(O19:P19)</f>
        <v>1160319</v>
      </c>
      <c r="R19" s="564">
        <f>+H19-K19-N19-Q19</f>
        <v>3202033</v>
      </c>
      <c r="S19" s="564"/>
      <c r="T19" s="576">
        <f>+SUM(R19:S19)</f>
        <v>3202033</v>
      </c>
      <c r="U19" s="564">
        <f>+K19+N19+Q19+T19</f>
        <v>27500000</v>
      </c>
      <c r="V19" s="565">
        <v>21867810</v>
      </c>
      <c r="W19" s="466">
        <f>1492037-222199</f>
        <v>1269838</v>
      </c>
      <c r="X19" s="565">
        <v>1160319</v>
      </c>
      <c r="Y19" s="565">
        <f>2483457-1245103</f>
        <v>1238354</v>
      </c>
      <c r="Z19" s="565"/>
      <c r="AA19" s="577">
        <f>+V19+W19+X19+Y19+Z19</f>
        <v>25536321</v>
      </c>
      <c r="AB19" s="466">
        <f>+AA19-H19</f>
        <v>-1963679</v>
      </c>
      <c r="AC19" s="566">
        <f>+V19/I19</f>
        <v>3.180772363636364</v>
      </c>
      <c r="AD19" s="567"/>
      <c r="AE19" s="567"/>
      <c r="AF19" s="567"/>
      <c r="AG19" s="560">
        <f>+AA19/H19</f>
        <v>0.9285934909090909</v>
      </c>
    </row>
    <row r="20" spans="1:33" ht="15">
      <c r="A20" s="465"/>
      <c r="B20" s="561"/>
      <c r="C20" s="562"/>
      <c r="D20" s="562"/>
      <c r="E20" s="562"/>
      <c r="F20" s="562"/>
      <c r="G20" s="562"/>
      <c r="H20" s="466"/>
      <c r="I20" s="564"/>
      <c r="J20" s="564"/>
      <c r="K20" s="564"/>
      <c r="L20" s="564"/>
      <c r="M20" s="564"/>
      <c r="N20" s="564"/>
      <c r="O20" s="564"/>
      <c r="P20" s="564"/>
      <c r="Q20" s="564"/>
      <c r="R20" s="564"/>
      <c r="S20" s="564"/>
      <c r="T20" s="564"/>
      <c r="U20" s="564">
        <f>+K20+N20+Q20+T20</f>
        <v>0</v>
      </c>
      <c r="V20" s="565"/>
      <c r="W20" s="466"/>
      <c r="X20" s="466"/>
      <c r="Y20" s="466"/>
      <c r="Z20" s="466"/>
      <c r="AA20" s="466"/>
      <c r="AB20" s="466"/>
      <c r="AC20" s="566"/>
      <c r="AD20" s="567"/>
      <c r="AE20" s="567"/>
      <c r="AF20" s="567"/>
      <c r="AG20" s="560"/>
    </row>
    <row r="21" spans="1:33" ht="15">
      <c r="A21" s="469" t="s">
        <v>325</v>
      </c>
      <c r="B21" s="581">
        <f>+B22+B23</f>
        <v>1785418898.3087187</v>
      </c>
      <c r="C21" s="585">
        <f aca="true" t="shared" si="4" ref="C21:N21">+SUM(C22:C23)</f>
        <v>222695456</v>
      </c>
      <c r="D21" s="555">
        <f t="shared" si="4"/>
        <v>0</v>
      </c>
      <c r="E21" s="555">
        <f t="shared" si="4"/>
        <v>0</v>
      </c>
      <c r="F21" s="555">
        <f t="shared" si="4"/>
        <v>0</v>
      </c>
      <c r="G21" s="555">
        <f t="shared" si="4"/>
        <v>0</v>
      </c>
      <c r="H21" s="463">
        <f t="shared" si="4"/>
        <v>2008114354.3087187</v>
      </c>
      <c r="I21" s="563">
        <f t="shared" si="4"/>
        <v>500000000</v>
      </c>
      <c r="J21" s="563">
        <f t="shared" si="4"/>
        <v>-330441377</v>
      </c>
      <c r="K21" s="563">
        <f t="shared" si="4"/>
        <v>169558623</v>
      </c>
      <c r="L21" s="563">
        <f t="shared" si="4"/>
        <v>341617671</v>
      </c>
      <c r="M21" s="563">
        <f t="shared" si="4"/>
        <v>-268724361</v>
      </c>
      <c r="N21" s="563">
        <f t="shared" si="4"/>
        <v>72893310</v>
      </c>
      <c r="O21" s="563">
        <f>+O22+O23</f>
        <v>795310806</v>
      </c>
      <c r="P21" s="563">
        <f>+P22+P23</f>
        <v>-373291219</v>
      </c>
      <c r="Q21" s="563">
        <f aca="true" t="shared" si="5" ref="Q21:Y21">+SUM(Q22:Q23)</f>
        <v>422019587</v>
      </c>
      <c r="R21" s="563">
        <f t="shared" si="5"/>
        <v>1343642834.3087187</v>
      </c>
      <c r="S21" s="563">
        <f t="shared" si="5"/>
        <v>0</v>
      </c>
      <c r="T21" s="563">
        <f t="shared" si="5"/>
        <v>1343642834.3087187</v>
      </c>
      <c r="U21" s="563">
        <f t="shared" si="5"/>
        <v>2008114354.3087187</v>
      </c>
      <c r="V21" s="582">
        <f t="shared" si="5"/>
        <v>169558623</v>
      </c>
      <c r="W21" s="463">
        <f t="shared" si="5"/>
        <v>72893310</v>
      </c>
      <c r="X21" s="463">
        <f t="shared" si="5"/>
        <v>422019587</v>
      </c>
      <c r="Y21" s="463">
        <f t="shared" si="5"/>
        <v>1343642834.3087187</v>
      </c>
      <c r="Z21" s="463"/>
      <c r="AA21" s="463">
        <f>+V21+W21+X21+Y21+Z21</f>
        <v>2008114354.3087187</v>
      </c>
      <c r="AB21" s="463">
        <f>+SUM(AB22:AB23)</f>
        <v>0</v>
      </c>
      <c r="AC21" s="566"/>
      <c r="AD21" s="583"/>
      <c r="AE21" s="583"/>
      <c r="AF21" s="583"/>
      <c r="AG21" s="560">
        <f>+AA21/H21</f>
        <v>1</v>
      </c>
    </row>
    <row r="22" spans="1:33" ht="15">
      <c r="A22" s="465" t="s">
        <v>322</v>
      </c>
      <c r="B22" s="586">
        <f>+'[5]Anexo 1 Minagricultura'!$D$22</f>
        <v>1584365993.4872904</v>
      </c>
      <c r="C22" s="587">
        <v>85002304</v>
      </c>
      <c r="D22" s="562"/>
      <c r="E22" s="562"/>
      <c r="F22" s="562"/>
      <c r="G22" s="562"/>
      <c r="H22" s="466">
        <f>+SUM(B22:F22)</f>
        <v>1669368297.4872904</v>
      </c>
      <c r="I22" s="564">
        <f>+'[6]Anexo 1 Minagricultura'!$B$22</f>
        <v>350000000</v>
      </c>
      <c r="J22" s="564">
        <v>-180441377</v>
      </c>
      <c r="K22" s="564">
        <f>+I22+J22</f>
        <v>169558623</v>
      </c>
      <c r="L22" s="564">
        <f>+'[7]Anexo 1 Minagricultura'!$B$22</f>
        <v>314154775</v>
      </c>
      <c r="M22" s="564">
        <v>-242228617</v>
      </c>
      <c r="N22" s="564">
        <f>+L22+M22</f>
        <v>71926158</v>
      </c>
      <c r="O22" s="564">
        <v>780402269</v>
      </c>
      <c r="P22" s="564">
        <v>-358382682</v>
      </c>
      <c r="Q22" s="576">
        <f>+SUM(O22:P22)</f>
        <v>422019587</v>
      </c>
      <c r="R22" s="564">
        <f>+H22-K22-N22-Q22</f>
        <v>1005863929.4872904</v>
      </c>
      <c r="S22" s="564"/>
      <c r="T22" s="576">
        <f>+SUM(R22:S22)</f>
        <v>1005863929.4872904</v>
      </c>
      <c r="U22" s="564">
        <f>+K22+N22+Q22+T22</f>
        <v>1669368297.4872904</v>
      </c>
      <c r="V22" s="565">
        <v>169558623</v>
      </c>
      <c r="W22" s="565">
        <v>71926158</v>
      </c>
      <c r="X22" s="565">
        <v>422019587</v>
      </c>
      <c r="Y22" s="565">
        <f>+H22-V22-W22-X22</f>
        <v>1005863929.4872904</v>
      </c>
      <c r="Z22" s="565"/>
      <c r="AA22" s="577">
        <f>+V22+W22+X22+Y22+Z22</f>
        <v>1669368297.4872904</v>
      </c>
      <c r="AB22" s="565">
        <f>+H22-AA22</f>
        <v>0</v>
      </c>
      <c r="AC22" s="566">
        <f>+V22/I22</f>
        <v>0.4844532085714286</v>
      </c>
      <c r="AD22" s="588"/>
      <c r="AE22" s="588"/>
      <c r="AF22" s="588"/>
      <c r="AG22" s="560">
        <f>+AA22/H22</f>
        <v>1</v>
      </c>
    </row>
    <row r="23" spans="1:33" ht="15">
      <c r="A23" s="465" t="s">
        <v>323</v>
      </c>
      <c r="B23" s="561">
        <f>+'[5]Anexo 1 Minagricultura'!$D$23</f>
        <v>201052904.8214283</v>
      </c>
      <c r="C23" s="589">
        <v>137693152</v>
      </c>
      <c r="D23" s="562"/>
      <c r="E23" s="562"/>
      <c r="F23" s="562"/>
      <c r="G23" s="562"/>
      <c r="H23" s="466">
        <f>+SUM(B23:F23)</f>
        <v>338746056.8214283</v>
      </c>
      <c r="I23" s="564">
        <f>+'[6]Anexo 1 Minagricultura'!$B$23</f>
        <v>150000000</v>
      </c>
      <c r="J23" s="564">
        <v>-150000000</v>
      </c>
      <c r="K23" s="564">
        <f>+I23+J23</f>
        <v>0</v>
      </c>
      <c r="L23" s="564">
        <f>+'[7]Anexo 1 Minagricultura'!$B$23</f>
        <v>27462896</v>
      </c>
      <c r="M23" s="564">
        <v>-26495744</v>
      </c>
      <c r="N23" s="564">
        <f>+L23+M23</f>
        <v>967152</v>
      </c>
      <c r="O23" s="564">
        <v>14908537</v>
      </c>
      <c r="P23" s="564">
        <v>-14908537</v>
      </c>
      <c r="Q23" s="576">
        <f>+SUM(O23:P23)</f>
        <v>0</v>
      </c>
      <c r="R23" s="564">
        <f>+H23-K23-N23-Q23</f>
        <v>337778904.8214283</v>
      </c>
      <c r="S23" s="564"/>
      <c r="T23" s="576">
        <f>+SUM(R23:S23)</f>
        <v>337778904.8214283</v>
      </c>
      <c r="U23" s="564">
        <f>+K23+N23+Q23+T23</f>
        <v>338746056.8214283</v>
      </c>
      <c r="V23" s="565">
        <v>0</v>
      </c>
      <c r="W23" s="466">
        <v>967152</v>
      </c>
      <c r="X23" s="565">
        <v>0</v>
      </c>
      <c r="Y23" s="565">
        <f>+H23-V23-W23-X23</f>
        <v>337778904.8214283</v>
      </c>
      <c r="Z23" s="565"/>
      <c r="AA23" s="577">
        <f>+V23+W23+X23+Y23+Z23</f>
        <v>338746056.8214283</v>
      </c>
      <c r="AB23" s="466">
        <f>+H23-AA23</f>
        <v>0</v>
      </c>
      <c r="AC23" s="566">
        <f>+V23/I23</f>
        <v>0</v>
      </c>
      <c r="AD23" s="567"/>
      <c r="AE23" s="567"/>
      <c r="AF23" s="567"/>
      <c r="AG23" s="560">
        <f>+AA23/H23</f>
        <v>1</v>
      </c>
    </row>
    <row r="24" spans="1:33" ht="15">
      <c r="A24" s="465"/>
      <c r="B24" s="561"/>
      <c r="C24" s="562"/>
      <c r="D24" s="562"/>
      <c r="E24" s="562"/>
      <c r="F24" s="562"/>
      <c r="G24" s="562"/>
      <c r="H24" s="466"/>
      <c r="I24" s="564"/>
      <c r="J24" s="564"/>
      <c r="K24" s="564"/>
      <c r="L24" s="564"/>
      <c r="M24" s="564"/>
      <c r="N24" s="564"/>
      <c r="O24" s="564"/>
      <c r="P24" s="564"/>
      <c r="Q24" s="564"/>
      <c r="R24" s="564"/>
      <c r="S24" s="564"/>
      <c r="T24" s="564"/>
      <c r="U24" s="564">
        <f>+K24+N24+Q24+T24</f>
        <v>0</v>
      </c>
      <c r="V24" s="565"/>
      <c r="W24" s="466"/>
      <c r="X24" s="466"/>
      <c r="Y24" s="466"/>
      <c r="Z24" s="466"/>
      <c r="AA24" s="577"/>
      <c r="AB24" s="466"/>
      <c r="AC24" s="566"/>
      <c r="AD24" s="567"/>
      <c r="AE24" s="567"/>
      <c r="AF24" s="567"/>
      <c r="AG24" s="560"/>
    </row>
    <row r="25" spans="1:33" ht="15">
      <c r="A25" s="469" t="s">
        <v>326</v>
      </c>
      <c r="B25" s="581">
        <f aca="true" t="shared" si="6" ref="B25:Y25">+B27+B31</f>
        <v>6547615040.510017</v>
      </c>
      <c r="C25" s="581">
        <f t="shared" si="6"/>
        <v>0</v>
      </c>
      <c r="D25" s="581">
        <f t="shared" si="6"/>
        <v>-542884987</v>
      </c>
      <c r="E25" s="581">
        <f t="shared" si="6"/>
        <v>-117316822</v>
      </c>
      <c r="F25" s="581">
        <f t="shared" si="6"/>
        <v>-60000000</v>
      </c>
      <c r="G25" s="581">
        <f t="shared" si="6"/>
        <v>0</v>
      </c>
      <c r="H25" s="470">
        <f t="shared" si="6"/>
        <v>5827413231.510017</v>
      </c>
      <c r="I25" s="563">
        <f t="shared" si="6"/>
        <v>1701756305.7695253</v>
      </c>
      <c r="J25" s="563">
        <f t="shared" si="6"/>
        <v>-623856842</v>
      </c>
      <c r="K25" s="563">
        <f t="shared" si="6"/>
        <v>1077899463.7695255</v>
      </c>
      <c r="L25" s="563">
        <f t="shared" si="6"/>
        <v>1676575463.599021</v>
      </c>
      <c r="M25" s="563">
        <f t="shared" si="6"/>
        <v>-73707638</v>
      </c>
      <c r="N25" s="563">
        <f t="shared" si="6"/>
        <v>1602867825.599021</v>
      </c>
      <c r="O25" s="563">
        <f t="shared" si="6"/>
        <v>1214861350.8609257</v>
      </c>
      <c r="P25" s="563">
        <f t="shared" si="6"/>
        <v>331935070</v>
      </c>
      <c r="Q25" s="563">
        <f t="shared" si="6"/>
        <v>1546796420.8609257</v>
      </c>
      <c r="R25" s="563">
        <f t="shared" si="6"/>
        <v>1602993918.280546</v>
      </c>
      <c r="S25" s="563">
        <f t="shared" si="6"/>
        <v>0</v>
      </c>
      <c r="T25" s="563">
        <f t="shared" si="6"/>
        <v>1602993918.280546</v>
      </c>
      <c r="U25" s="563">
        <f t="shared" si="6"/>
        <v>5830557628.510018</v>
      </c>
      <c r="V25" s="582">
        <f t="shared" si="6"/>
        <v>1077899464</v>
      </c>
      <c r="W25" s="463">
        <f t="shared" si="6"/>
        <v>1602867825</v>
      </c>
      <c r="X25" s="463">
        <f t="shared" si="6"/>
        <v>1546796419.95</v>
      </c>
      <c r="Y25" s="463">
        <f t="shared" si="6"/>
        <v>975954217</v>
      </c>
      <c r="Z25" s="463"/>
      <c r="AA25" s="463">
        <f>+AA27+AA31</f>
        <v>5074931738.95</v>
      </c>
      <c r="AB25" s="463">
        <f>+AB27+AB31</f>
        <v>-752481492.5600178</v>
      </c>
      <c r="AC25" s="566">
        <f>+V25/I25</f>
        <v>0.6334041251062558</v>
      </c>
      <c r="AD25" s="583"/>
      <c r="AE25" s="583"/>
      <c r="AF25" s="583"/>
      <c r="AG25" s="560">
        <f>+AA25/H25</f>
        <v>0.8708721241028188</v>
      </c>
    </row>
    <row r="26" spans="1:33" ht="15">
      <c r="A26" s="465"/>
      <c r="B26" s="561"/>
      <c r="C26" s="562"/>
      <c r="D26" s="562"/>
      <c r="E26" s="562"/>
      <c r="F26" s="562"/>
      <c r="G26" s="562"/>
      <c r="H26" s="466"/>
      <c r="I26" s="563"/>
      <c r="J26" s="563"/>
      <c r="K26" s="563"/>
      <c r="L26" s="563"/>
      <c r="M26" s="563"/>
      <c r="N26" s="563"/>
      <c r="O26" s="563"/>
      <c r="P26" s="563"/>
      <c r="Q26" s="563"/>
      <c r="R26" s="563"/>
      <c r="S26" s="563"/>
      <c r="T26" s="563"/>
      <c r="U26" s="564">
        <f>+K26+N26+Q26+T26</f>
        <v>0</v>
      </c>
      <c r="V26" s="565"/>
      <c r="W26" s="466"/>
      <c r="X26" s="466"/>
      <c r="Y26" s="466"/>
      <c r="Z26" s="466"/>
      <c r="AA26" s="466"/>
      <c r="AB26" s="466"/>
      <c r="AC26" s="566"/>
      <c r="AD26" s="567"/>
      <c r="AE26" s="567"/>
      <c r="AF26" s="567"/>
      <c r="AG26" s="560"/>
    </row>
    <row r="27" spans="1:33" ht="15">
      <c r="A27" s="469" t="s">
        <v>173</v>
      </c>
      <c r="B27" s="581">
        <f>+B28</f>
        <v>65823042.857142866</v>
      </c>
      <c r="C27" s="555">
        <f aca="true" t="shared" si="7" ref="C27:N27">+SUM(C28:C29)</f>
        <v>0</v>
      </c>
      <c r="D27" s="555">
        <f t="shared" si="7"/>
        <v>0</v>
      </c>
      <c r="E27" s="555">
        <f t="shared" si="7"/>
        <v>0</v>
      </c>
      <c r="F27" s="555">
        <f t="shared" si="7"/>
        <v>0</v>
      </c>
      <c r="G27" s="555">
        <f t="shared" si="7"/>
        <v>0</v>
      </c>
      <c r="H27" s="463">
        <f t="shared" si="7"/>
        <v>65823042.857142866</v>
      </c>
      <c r="I27" s="563">
        <f t="shared" si="7"/>
        <v>16455760.714285726</v>
      </c>
      <c r="J27" s="563">
        <f t="shared" si="7"/>
        <v>-2144861</v>
      </c>
      <c r="K27" s="563">
        <f t="shared" si="7"/>
        <v>14310899.714285726</v>
      </c>
      <c r="L27" s="563">
        <f t="shared" si="7"/>
        <v>12600000</v>
      </c>
      <c r="M27" s="563">
        <f t="shared" si="7"/>
        <v>3521101</v>
      </c>
      <c r="N27" s="563">
        <f t="shared" si="7"/>
        <v>16121101</v>
      </c>
      <c r="O27" s="563">
        <f>+O28+O29</f>
        <v>15550000</v>
      </c>
      <c r="P27" s="563">
        <f>+P28+P29</f>
        <v>-7745521</v>
      </c>
      <c r="Q27" s="563">
        <f aca="true" t="shared" si="8" ref="Q27:Y27">+SUM(Q28:Q29)</f>
        <v>7804479</v>
      </c>
      <c r="R27" s="563">
        <f t="shared" si="8"/>
        <v>30730960.14285714</v>
      </c>
      <c r="S27" s="563">
        <f t="shared" si="8"/>
        <v>0</v>
      </c>
      <c r="T27" s="563">
        <f t="shared" si="8"/>
        <v>30730960.14285714</v>
      </c>
      <c r="U27" s="563">
        <f t="shared" si="8"/>
        <v>68967439.85714287</v>
      </c>
      <c r="V27" s="582">
        <f t="shared" si="8"/>
        <v>14310900</v>
      </c>
      <c r="W27" s="463">
        <f t="shared" si="8"/>
        <v>16121101</v>
      </c>
      <c r="X27" s="463">
        <f t="shared" si="8"/>
        <v>7804478.949999999</v>
      </c>
      <c r="Y27" s="463">
        <f t="shared" si="8"/>
        <v>3377691</v>
      </c>
      <c r="Z27" s="463"/>
      <c r="AA27" s="463">
        <f>+V27+W27+X27+Y27+Z27</f>
        <v>41614170.95</v>
      </c>
      <c r="AB27" s="463">
        <f>+SUM(AB28:AB29)</f>
        <v>-24208871.907142863</v>
      </c>
      <c r="AC27" s="566">
        <f>+V27/I27</f>
        <v>0.8696589752655002</v>
      </c>
      <c r="AD27" s="583"/>
      <c r="AE27" s="583"/>
      <c r="AF27" s="583"/>
      <c r="AG27" s="560">
        <f>+AA27/H27</f>
        <v>0.6322128109500516</v>
      </c>
    </row>
    <row r="28" spans="1:33" ht="15">
      <c r="A28" s="465" t="s">
        <v>327</v>
      </c>
      <c r="B28" s="561">
        <f>+'[5]Anexo 1 Minagricultura'!$D$28</f>
        <v>65823042.857142866</v>
      </c>
      <c r="C28" s="562"/>
      <c r="D28" s="562"/>
      <c r="E28" s="562"/>
      <c r="F28" s="562"/>
      <c r="G28" s="562"/>
      <c r="H28" s="466">
        <f>+SUM(B28:F28)</f>
        <v>65823042.857142866</v>
      </c>
      <c r="I28" s="564">
        <f>+'[6]Anexo 1 Minagricultura'!$B$28</f>
        <v>16455760.714285726</v>
      </c>
      <c r="J28" s="564">
        <v>-3138106</v>
      </c>
      <c r="K28" s="564">
        <f>+I28+J28</f>
        <v>13317654.714285726</v>
      </c>
      <c r="L28" s="564">
        <f>+'[7]Anexo 1 Minagricultura'!$B$28</f>
        <v>12000000</v>
      </c>
      <c r="M28" s="564">
        <v>2964573</v>
      </c>
      <c r="N28" s="564">
        <f>+L28+M28</f>
        <v>14964573</v>
      </c>
      <c r="O28" s="564">
        <v>14700000</v>
      </c>
      <c r="P28" s="564">
        <v>-7890145</v>
      </c>
      <c r="Q28" s="576">
        <f>+SUM(O28:P28)</f>
        <v>6809855</v>
      </c>
      <c r="R28" s="564">
        <f>+H28-K28-N28-Q28</f>
        <v>30730960.14285714</v>
      </c>
      <c r="S28" s="564"/>
      <c r="T28" s="576">
        <f>+SUM(R28:S28)</f>
        <v>30730960.14285714</v>
      </c>
      <c r="U28" s="564">
        <f>+K28+N28+Q28+T28</f>
        <v>65823042.857142866</v>
      </c>
      <c r="V28" s="565">
        <v>13317655</v>
      </c>
      <c r="W28" s="466">
        <v>14964573</v>
      </c>
      <c r="X28" s="565">
        <f>6809856.06-1.11</f>
        <v>6809854.949999999</v>
      </c>
      <c r="Y28" s="565">
        <f>3994273-1976944</f>
        <v>2017329</v>
      </c>
      <c r="Z28" s="565"/>
      <c r="AA28" s="577">
        <f>+V28+W28+X28+Y28+Z28</f>
        <v>37109411.95</v>
      </c>
      <c r="AB28" s="466">
        <f>+AA28-H28</f>
        <v>-28713630.907142863</v>
      </c>
      <c r="AC28" s="566">
        <f>+V28/I28</f>
        <v>0.8093004772753262</v>
      </c>
      <c r="AD28" s="567"/>
      <c r="AE28" s="567"/>
      <c r="AF28" s="567"/>
      <c r="AG28" s="560">
        <f>+AA28/H28</f>
        <v>0.5637753944395938</v>
      </c>
    </row>
    <row r="29" spans="1:33" ht="15">
      <c r="A29" s="465" t="s">
        <v>328</v>
      </c>
      <c r="B29" s="561">
        <f>+'[5]Anexo 1 Minagricultura'!$D$29</f>
        <v>0</v>
      </c>
      <c r="C29" s="562"/>
      <c r="D29" s="562"/>
      <c r="E29" s="562"/>
      <c r="F29" s="562"/>
      <c r="G29" s="562"/>
      <c r="H29" s="466">
        <f>+SUM(B29:F29)</f>
        <v>0</v>
      </c>
      <c r="I29" s="564">
        <f>+'[6]Anexo 1 Minagricultura'!$B$29</f>
        <v>0</v>
      </c>
      <c r="J29" s="564">
        <v>993245</v>
      </c>
      <c r="K29" s="564">
        <f>+I29+J29</f>
        <v>993245</v>
      </c>
      <c r="L29" s="564">
        <f>+'[7]Anexo 1 Minagricultura'!$B$29</f>
        <v>600000</v>
      </c>
      <c r="M29" s="564">
        <v>556528</v>
      </c>
      <c r="N29" s="564">
        <f>+L29+M29</f>
        <v>1156528</v>
      </c>
      <c r="O29" s="564">
        <v>850000</v>
      </c>
      <c r="P29" s="564">
        <v>144624</v>
      </c>
      <c r="Q29" s="576">
        <f>+SUM(O29:P29)</f>
        <v>994624</v>
      </c>
      <c r="R29" s="564">
        <v>0</v>
      </c>
      <c r="S29" s="564"/>
      <c r="T29" s="576">
        <f>+SUM(R29:S29)</f>
        <v>0</v>
      </c>
      <c r="U29" s="564">
        <f>+K29+N29+Q29+T29</f>
        <v>3144397</v>
      </c>
      <c r="V29" s="565">
        <v>993245</v>
      </c>
      <c r="W29" s="466">
        <v>1156528</v>
      </c>
      <c r="X29" s="565">
        <v>994624</v>
      </c>
      <c r="Y29" s="565">
        <v>1360362</v>
      </c>
      <c r="Z29" s="565"/>
      <c r="AA29" s="577">
        <f>+V29+W29+X29+Y29+Z29</f>
        <v>4504759</v>
      </c>
      <c r="AB29" s="466">
        <f>+AA29-H29</f>
        <v>4504759</v>
      </c>
      <c r="AC29" s="566">
        <v>1</v>
      </c>
      <c r="AD29" s="567"/>
      <c r="AE29" s="567"/>
      <c r="AF29" s="567"/>
      <c r="AG29" s="560">
        <v>0</v>
      </c>
    </row>
    <row r="30" spans="1:33" ht="15">
      <c r="A30" s="465"/>
      <c r="B30" s="561"/>
      <c r="C30" s="562"/>
      <c r="D30" s="562" t="s">
        <v>114</v>
      </c>
      <c r="E30" s="562"/>
      <c r="F30" s="562"/>
      <c r="G30" s="562"/>
      <c r="H30" s="466"/>
      <c r="I30" s="564"/>
      <c r="J30" s="564"/>
      <c r="K30" s="564"/>
      <c r="L30" s="564"/>
      <c r="M30" s="564"/>
      <c r="N30" s="564"/>
      <c r="O30" s="564"/>
      <c r="P30" s="564"/>
      <c r="Q30" s="564"/>
      <c r="R30" s="564"/>
      <c r="S30" s="564"/>
      <c r="T30" s="564"/>
      <c r="U30" s="564"/>
      <c r="V30" s="565"/>
      <c r="W30" s="466"/>
      <c r="X30" s="466"/>
      <c r="Y30" s="466"/>
      <c r="Z30" s="466"/>
      <c r="AA30" s="466"/>
      <c r="AB30" s="466"/>
      <c r="AC30" s="566"/>
      <c r="AD30" s="567"/>
      <c r="AE30" s="567"/>
      <c r="AF30" s="567"/>
      <c r="AG30" s="560"/>
    </row>
    <row r="31" spans="1:33" ht="15">
      <c r="A31" s="469" t="s">
        <v>329</v>
      </c>
      <c r="B31" s="581">
        <f>+VTAS2005+B33+B34+B35+B36+B37</f>
        <v>6481791997.652875</v>
      </c>
      <c r="C31" s="581">
        <f>+SUM(C32:C36)</f>
        <v>0</v>
      </c>
      <c r="D31" s="581">
        <f>+SUM(D32:D36)</f>
        <v>-542884987</v>
      </c>
      <c r="E31" s="581">
        <f>+SUM(E32:E36)</f>
        <v>-117316822</v>
      </c>
      <c r="F31" s="581">
        <f>+SUM(F32:F36)</f>
        <v>-60000000</v>
      </c>
      <c r="G31" s="581">
        <f>+SUM(G32:G36)</f>
        <v>0</v>
      </c>
      <c r="H31" s="470">
        <f aca="true" t="shared" si="9" ref="H31:N31">+SUM(H32:H37)</f>
        <v>5761590188.652875</v>
      </c>
      <c r="I31" s="563">
        <f t="shared" si="9"/>
        <v>1685300545.0552397</v>
      </c>
      <c r="J31" s="563">
        <f t="shared" si="9"/>
        <v>-621711981</v>
      </c>
      <c r="K31" s="563">
        <f t="shared" si="9"/>
        <v>1063588564.0552398</v>
      </c>
      <c r="L31" s="563">
        <f t="shared" si="9"/>
        <v>1663975463.599021</v>
      </c>
      <c r="M31" s="563">
        <f t="shared" si="9"/>
        <v>-77228739</v>
      </c>
      <c r="N31" s="563">
        <f t="shared" si="9"/>
        <v>1586746724.599021</v>
      </c>
      <c r="O31" s="563">
        <f>SUM(O32:O37)</f>
        <v>1199311350.8609257</v>
      </c>
      <c r="P31" s="563">
        <f>SUM(P32:P37)</f>
        <v>339680591</v>
      </c>
      <c r="Q31" s="563">
        <f aca="true" t="shared" si="10" ref="Q31:Y31">+SUM(Q32:Q37)</f>
        <v>1538991941.8609257</v>
      </c>
      <c r="R31" s="563">
        <f t="shared" si="10"/>
        <v>1572262958.1376889</v>
      </c>
      <c r="S31" s="563">
        <f t="shared" si="10"/>
        <v>0</v>
      </c>
      <c r="T31" s="563">
        <f t="shared" si="10"/>
        <v>1572262958.1376889</v>
      </c>
      <c r="U31" s="563">
        <f t="shared" si="10"/>
        <v>5761590188.652876</v>
      </c>
      <c r="V31" s="582">
        <f t="shared" si="10"/>
        <v>1063588564</v>
      </c>
      <c r="W31" s="463">
        <f t="shared" si="10"/>
        <v>1586746724</v>
      </c>
      <c r="X31" s="463">
        <f t="shared" si="10"/>
        <v>1538991941</v>
      </c>
      <c r="Y31" s="463">
        <f t="shared" si="10"/>
        <v>972576526</v>
      </c>
      <c r="Z31" s="463">
        <f>SUM(Z32:Z37)</f>
        <v>-128586187</v>
      </c>
      <c r="AA31" s="463">
        <f aca="true" t="shared" si="11" ref="AA31:AA37">+V31+W31+X31+Y31+Z31</f>
        <v>5033317568</v>
      </c>
      <c r="AB31" s="463">
        <f>+AA31-H31</f>
        <v>-728272620.652875</v>
      </c>
      <c r="AC31" s="566">
        <f aca="true" t="shared" si="12" ref="AC31:AC37">+V31/I31</f>
        <v>0.6310972645921374</v>
      </c>
      <c r="AD31" s="583"/>
      <c r="AE31" s="583"/>
      <c r="AF31" s="583"/>
      <c r="AG31" s="560">
        <f aca="true" t="shared" si="13" ref="AG31:AG37">+AA31/H31</f>
        <v>0.8735986773083642</v>
      </c>
    </row>
    <row r="32" spans="1:33" ht="15">
      <c r="A32" s="465" t="s">
        <v>330</v>
      </c>
      <c r="B32" s="561">
        <f>+[5]!VTAS2005</f>
        <v>4134851486.4000006</v>
      </c>
      <c r="C32" s="562"/>
      <c r="D32" s="562"/>
      <c r="E32" s="562"/>
      <c r="F32" s="562"/>
      <c r="G32" s="562"/>
      <c r="H32" s="466">
        <f aca="true" t="shared" si="14" ref="H32:H37">+SUM(B32:F32)</f>
        <v>4134851486.4000006</v>
      </c>
      <c r="I32" s="564">
        <f>+'[6]Anexo 1 Minagricultura'!$B$32</f>
        <v>996552160</v>
      </c>
      <c r="J32" s="564">
        <v>-93917182</v>
      </c>
      <c r="K32" s="564">
        <f aca="true" t="shared" si="15" ref="K32:K37">+I32+J32</f>
        <v>902634978</v>
      </c>
      <c r="L32" s="564">
        <f>+'[7]Anexo 1 Minagricultura'!$B$32</f>
        <v>1086458685</v>
      </c>
      <c r="M32" s="564">
        <v>-64349201</v>
      </c>
      <c r="N32" s="564">
        <f aca="true" t="shared" si="16" ref="N32:N37">+L32+M32</f>
        <v>1022109484</v>
      </c>
      <c r="O32" s="564">
        <f>1074444000-314668371+5112688+1999999</f>
        <v>766888316</v>
      </c>
      <c r="P32" s="564">
        <v>239519227</v>
      </c>
      <c r="Q32" s="564">
        <f aca="true" t="shared" si="17" ref="Q32:Q37">+SUM(O32:P32)</f>
        <v>1006407543</v>
      </c>
      <c r="R32" s="564">
        <f aca="true" t="shared" si="18" ref="R32:R37">+H32-K32-N32-Q32</f>
        <v>1203699481.4000006</v>
      </c>
      <c r="S32" s="564"/>
      <c r="T32" s="576">
        <f aca="true" t="shared" si="19" ref="T32:T37">+SUM(R32:S32)</f>
        <v>1203699481.4000006</v>
      </c>
      <c r="U32" s="564">
        <f aca="true" t="shared" si="20" ref="U32:U38">+K32+N32+Q32+T32</f>
        <v>4134851486.4000006</v>
      </c>
      <c r="V32" s="565">
        <v>902634978</v>
      </c>
      <c r="W32" s="466">
        <f>1082814025-60704541</f>
        <v>1022109484</v>
      </c>
      <c r="X32" s="565">
        <v>1006407543</v>
      </c>
      <c r="Y32" s="565">
        <f>1016905853-53503405</f>
        <v>963402448</v>
      </c>
      <c r="Z32" s="565"/>
      <c r="AA32" s="577">
        <f t="shared" si="11"/>
        <v>3894554453</v>
      </c>
      <c r="AB32" s="466">
        <f aca="true" t="shared" si="21" ref="AB32:AB37">+AA32-H32</f>
        <v>-240297033.40000057</v>
      </c>
      <c r="AC32" s="566">
        <f t="shared" si="12"/>
        <v>0.9057578862705993</v>
      </c>
      <c r="AD32" s="567"/>
      <c r="AE32" s="567"/>
      <c r="AF32" s="567"/>
      <c r="AG32" s="560">
        <f t="shared" si="13"/>
        <v>0.9418849663185328</v>
      </c>
    </row>
    <row r="33" spans="1:35" ht="15">
      <c r="A33" s="471" t="s">
        <v>331</v>
      </c>
      <c r="B33" s="590">
        <f>+'[5]Anexo 1 Minagricultura'!$D$33</f>
        <v>33559548</v>
      </c>
      <c r="C33" s="591"/>
      <c r="D33" s="591"/>
      <c r="E33" s="591"/>
      <c r="F33" s="591"/>
      <c r="G33" s="591"/>
      <c r="H33" s="466">
        <f t="shared" si="14"/>
        <v>33559548</v>
      </c>
      <c r="I33" s="592">
        <f>+'[6]Anexo 1 Minagricultura'!$B$33</f>
        <v>8389887</v>
      </c>
      <c r="J33" s="592">
        <v>-6487671</v>
      </c>
      <c r="K33" s="592">
        <f t="shared" si="15"/>
        <v>1902216</v>
      </c>
      <c r="L33" s="592">
        <f>+'[7]Anexo 1 Minagricultura'!$B$33</f>
        <v>1500000</v>
      </c>
      <c r="M33" s="592">
        <v>1740742</v>
      </c>
      <c r="N33" s="592">
        <f t="shared" si="16"/>
        <v>3240742</v>
      </c>
      <c r="O33" s="592">
        <v>1500000</v>
      </c>
      <c r="P33" s="592">
        <v>9732394</v>
      </c>
      <c r="Q33" s="592">
        <f t="shared" si="17"/>
        <v>11232394</v>
      </c>
      <c r="R33" s="564">
        <f t="shared" si="18"/>
        <v>17184196</v>
      </c>
      <c r="S33" s="592"/>
      <c r="T33" s="576">
        <f t="shared" si="19"/>
        <v>17184196</v>
      </c>
      <c r="U33" s="592">
        <f t="shared" si="20"/>
        <v>33559548</v>
      </c>
      <c r="V33" s="593">
        <f>1879877+3439+18639+261</f>
        <v>1902216</v>
      </c>
      <c r="W33" s="473">
        <f>3230160+10582</f>
        <v>3240742</v>
      </c>
      <c r="X33" s="565">
        <f>4080517+6354541-6366+560+803142</f>
        <v>11232394</v>
      </c>
      <c r="Y33" s="565">
        <v>0</v>
      </c>
      <c r="Z33" s="593">
        <v>-1608758</v>
      </c>
      <c r="AA33" s="577">
        <f t="shared" si="11"/>
        <v>14766594</v>
      </c>
      <c r="AB33" s="466">
        <f t="shared" si="21"/>
        <v>-18792954</v>
      </c>
      <c r="AC33" s="566">
        <f t="shared" si="12"/>
        <v>0.22672724912743164</v>
      </c>
      <c r="AD33" s="594"/>
      <c r="AE33" s="594"/>
      <c r="AF33" s="594"/>
      <c r="AG33" s="560">
        <f t="shared" si="13"/>
        <v>0.44001170695147623</v>
      </c>
      <c r="AI33" s="579"/>
    </row>
    <row r="34" spans="1:33" ht="15">
      <c r="A34" s="471" t="s">
        <v>332</v>
      </c>
      <c r="B34" s="590">
        <f>+'[5]Anexo 1 Minagricultura'!$D$34</f>
        <v>9348838.285714285</v>
      </c>
      <c r="C34" s="591"/>
      <c r="D34" s="591"/>
      <c r="E34" s="591"/>
      <c r="F34" s="591"/>
      <c r="G34" s="591"/>
      <c r="H34" s="466">
        <f t="shared" si="14"/>
        <v>9348838.285714285</v>
      </c>
      <c r="I34" s="592">
        <f>+'[6]Anexo 1 Minagricultura'!$B$34</f>
        <v>2337209.5714285723</v>
      </c>
      <c r="J34" s="592">
        <v>1982411</v>
      </c>
      <c r="K34" s="592">
        <f t="shared" si="15"/>
        <v>4319620.571428573</v>
      </c>
      <c r="L34" s="592">
        <f>+'[7]Anexo 1 Minagricultura'!$B$34</f>
        <v>3800000</v>
      </c>
      <c r="M34" s="592">
        <v>-2567375</v>
      </c>
      <c r="N34" s="592">
        <f t="shared" si="16"/>
        <v>1232625</v>
      </c>
      <c r="O34" s="592">
        <v>2600000</v>
      </c>
      <c r="P34" s="592">
        <v>-1027642</v>
      </c>
      <c r="Q34" s="592">
        <f t="shared" si="17"/>
        <v>1572358</v>
      </c>
      <c r="R34" s="564">
        <f t="shared" si="18"/>
        <v>2224234.7142857127</v>
      </c>
      <c r="S34" s="592"/>
      <c r="T34" s="576">
        <f t="shared" si="19"/>
        <v>2224234.7142857127</v>
      </c>
      <c r="U34" s="592">
        <f t="shared" si="20"/>
        <v>9348838.285714285</v>
      </c>
      <c r="V34" s="593">
        <f>412640+22000+1511+2025+3881445</f>
        <v>4319621</v>
      </c>
      <c r="W34" s="473">
        <f>641770+90+59230-1500+532933+102</f>
        <v>1232625</v>
      </c>
      <c r="X34" s="565">
        <f>1430912+4022+2743+18334+116347</f>
        <v>1572358</v>
      </c>
      <c r="Y34" s="565">
        <f>3884253-49943+45545+1279+192+532</f>
        <v>3881858</v>
      </c>
      <c r="Z34" s="593"/>
      <c r="AA34" s="577">
        <f t="shared" si="11"/>
        <v>11006462</v>
      </c>
      <c r="AB34" s="466">
        <f t="shared" si="21"/>
        <v>1657623.7142857146</v>
      </c>
      <c r="AC34" s="566">
        <f t="shared" si="12"/>
        <v>1.8481958369525753</v>
      </c>
      <c r="AD34" s="594"/>
      <c r="AE34" s="594"/>
      <c r="AF34" s="594"/>
      <c r="AG34" s="560">
        <f t="shared" si="13"/>
        <v>1.1773079888245244</v>
      </c>
    </row>
    <row r="35" spans="1:35" ht="15">
      <c r="A35" s="471" t="s">
        <v>333</v>
      </c>
      <c r="B35" s="590">
        <f>+'[5]Anexo 1 Minagricultura'!$D$35</f>
        <v>124905842.28571428</v>
      </c>
      <c r="C35" s="591"/>
      <c r="D35" s="591"/>
      <c r="E35" s="591"/>
      <c r="F35" s="591"/>
      <c r="G35" s="591"/>
      <c r="H35" s="466">
        <f t="shared" si="14"/>
        <v>124905842.28571428</v>
      </c>
      <c r="I35" s="592">
        <f>+'[6]Anexo 1 Minagricultura'!$B$35</f>
        <v>57301377.23809523</v>
      </c>
      <c r="J35" s="592">
        <f>-57301377+30957260</f>
        <v>-26344117</v>
      </c>
      <c r="K35" s="592">
        <f t="shared" si="15"/>
        <v>30957260.23809523</v>
      </c>
      <c r="L35" s="592">
        <f>+'[7]Anexo 1 Minagricultura'!$B$35</f>
        <v>58721377.23809523</v>
      </c>
      <c r="M35" s="592">
        <v>-26508258</v>
      </c>
      <c r="N35" s="592">
        <f t="shared" si="16"/>
        <v>32213119.23809523</v>
      </c>
      <c r="O35" s="592">
        <f>+'[8]Otros ingresos'!C13</f>
        <v>26284710.5</v>
      </c>
      <c r="P35" s="592">
        <v>1874015</v>
      </c>
      <c r="Q35" s="472">
        <f t="shared" si="17"/>
        <v>28158725.5</v>
      </c>
      <c r="R35" s="564">
        <f t="shared" si="18"/>
        <v>33576737.30952381</v>
      </c>
      <c r="S35" s="592"/>
      <c r="T35" s="576">
        <f t="shared" si="19"/>
        <v>33576737.30952381</v>
      </c>
      <c r="U35" s="592">
        <f t="shared" si="20"/>
        <v>124905842.28571427</v>
      </c>
      <c r="V35" s="593">
        <f>605000+28751300+1881000+17000+6009441+3923080-599561-12830000+3200000</f>
        <v>30957260</v>
      </c>
      <c r="W35" s="473">
        <f>2547000+3503000+83519+20120745+1000000+119000+7000+(5172825-339970)</f>
        <v>32213119</v>
      </c>
      <c r="X35" s="565">
        <f>(7755000-1755000)+9502771+413548+30000+(12212676-270)</f>
        <v>28158725</v>
      </c>
      <c r="Y35" s="565">
        <f>+(2107000-890000)+6230000+14429379+500000+262119+1960234+17000+10297634-(20120745+9502771)+2370</f>
        <v>5292220</v>
      </c>
      <c r="Z35" s="593">
        <f>-28751300-1881000-3923080-3439-3503000+2300000+5500000+1000000</f>
        <v>-29261819</v>
      </c>
      <c r="AA35" s="577">
        <f t="shared" si="11"/>
        <v>67359505</v>
      </c>
      <c r="AB35" s="466">
        <f t="shared" si="21"/>
        <v>-57546337.28571428</v>
      </c>
      <c r="AC35" s="566">
        <f t="shared" si="12"/>
        <v>0.5402533323303602</v>
      </c>
      <c r="AD35" s="594"/>
      <c r="AE35" s="594"/>
      <c r="AF35" s="594"/>
      <c r="AG35" s="560">
        <f t="shared" si="13"/>
        <v>0.5392822606801638</v>
      </c>
      <c r="AI35" s="579"/>
    </row>
    <row r="36" spans="1:33" ht="15">
      <c r="A36" s="471" t="s">
        <v>334</v>
      </c>
      <c r="B36" s="590">
        <f>+'[5]Anexo 1 Minagricultura'!$D$36</f>
        <v>1821222682.6814463</v>
      </c>
      <c r="C36" s="591"/>
      <c r="D36" s="591">
        <f>10000000-552884987</f>
        <v>-542884987</v>
      </c>
      <c r="E36" s="591">
        <v>-117316822</v>
      </c>
      <c r="F36" s="591">
        <v>-60000000</v>
      </c>
      <c r="G36" s="591">
        <v>0</v>
      </c>
      <c r="H36" s="466">
        <f t="shared" si="14"/>
        <v>1101020873.6814463</v>
      </c>
      <c r="I36" s="592">
        <f>+'[6]Anexo 1 Minagricultura'!$B$36</f>
        <v>287719911.245716</v>
      </c>
      <c r="J36" s="592">
        <v>-278334791</v>
      </c>
      <c r="K36" s="592">
        <f t="shared" si="15"/>
        <v>9385120.245715976</v>
      </c>
      <c r="L36" s="595">
        <f>+'[7]Anexo 1 Minagricultura'!$B$36</f>
        <v>236051538.36092576</v>
      </c>
      <c r="M36" s="595">
        <v>60382858</v>
      </c>
      <c r="N36" s="595">
        <f t="shared" si="16"/>
        <v>296434396.3609258</v>
      </c>
      <c r="O36" s="592">
        <f>+'[8]Otros ingresos'!C27</f>
        <v>398038324.3609258</v>
      </c>
      <c r="P36" s="592">
        <v>81584724</v>
      </c>
      <c r="Q36" s="472">
        <f t="shared" si="17"/>
        <v>479623048.3609258</v>
      </c>
      <c r="R36" s="564">
        <f t="shared" si="18"/>
        <v>315578308.71387887</v>
      </c>
      <c r="S36" s="592"/>
      <c r="T36" s="576">
        <f t="shared" si="19"/>
        <v>315578308.71387887</v>
      </c>
      <c r="U36" s="592">
        <f t="shared" si="20"/>
        <v>1101020873.6814466</v>
      </c>
      <c r="V36" s="593">
        <v>9385120</v>
      </c>
      <c r="W36" s="473">
        <f>53288809-24268236+62731302-18000402+126675872+27879137+10876050+20880000+33071864+2300000+1000000</f>
        <v>296434396</v>
      </c>
      <c r="X36" s="565">
        <f>5500000+28406988+105467411-1881000+12607706+15403181+214660988+10876050+40000000+48581724</f>
        <v>479623048</v>
      </c>
      <c r="Y36" s="565"/>
      <c r="Z36" s="593">
        <f>-91485610-6230000</f>
        <v>-97715610</v>
      </c>
      <c r="AA36" s="577">
        <f t="shared" si="11"/>
        <v>687726954</v>
      </c>
      <c r="AB36" s="466">
        <f t="shared" si="21"/>
        <v>-413293919.6814463</v>
      </c>
      <c r="AC36" s="566">
        <f t="shared" si="12"/>
        <v>0.032618945137881</v>
      </c>
      <c r="AD36" s="594"/>
      <c r="AE36" s="594"/>
      <c r="AF36" s="594"/>
      <c r="AG36" s="560">
        <f t="shared" si="13"/>
        <v>0.6246266264693698</v>
      </c>
    </row>
    <row r="37" spans="1:35" ht="15">
      <c r="A37" s="471" t="s">
        <v>335</v>
      </c>
      <c r="B37" s="590">
        <f>+'[5]Anexo 1 Minagricultura'!$D$37</f>
        <v>357903600</v>
      </c>
      <c r="C37" s="591"/>
      <c r="D37" s="591"/>
      <c r="E37" s="591"/>
      <c r="F37" s="591"/>
      <c r="G37" s="591"/>
      <c r="H37" s="466">
        <f t="shared" si="14"/>
        <v>357903600</v>
      </c>
      <c r="I37" s="592">
        <f>+'[6]Anexo 1 Minagricultura'!$B$37</f>
        <v>333000000</v>
      </c>
      <c r="J37" s="592">
        <v>-218610631</v>
      </c>
      <c r="K37" s="592">
        <f t="shared" si="15"/>
        <v>114389369</v>
      </c>
      <c r="L37" s="595">
        <v>277443863</v>
      </c>
      <c r="M37" s="595">
        <v>-45927505</v>
      </c>
      <c r="N37" s="595">
        <f t="shared" si="16"/>
        <v>231516358</v>
      </c>
      <c r="O37" s="595">
        <f>+'[8]Otros ingresos'!C32</f>
        <v>4000000</v>
      </c>
      <c r="P37" s="595">
        <v>7997873</v>
      </c>
      <c r="Q37" s="592">
        <f t="shared" si="17"/>
        <v>11997873</v>
      </c>
      <c r="R37" s="564">
        <f t="shared" si="18"/>
        <v>0</v>
      </c>
      <c r="S37" s="592"/>
      <c r="T37" s="576">
        <f t="shared" si="19"/>
        <v>0</v>
      </c>
      <c r="U37" s="592">
        <f t="shared" si="20"/>
        <v>357903600</v>
      </c>
      <c r="V37" s="593">
        <v>114389369</v>
      </c>
      <c r="W37" s="473">
        <v>231516358</v>
      </c>
      <c r="X37" s="565">
        <f>12000000-2127</f>
        <v>11997873</v>
      </c>
      <c r="Y37" s="565">
        <v>0</v>
      </c>
      <c r="Z37" s="593"/>
      <c r="AA37" s="577">
        <f t="shared" si="11"/>
        <v>357903600</v>
      </c>
      <c r="AB37" s="466">
        <f t="shared" si="21"/>
        <v>0</v>
      </c>
      <c r="AC37" s="566">
        <f t="shared" si="12"/>
        <v>0.3435116186186186</v>
      </c>
      <c r="AD37" s="594"/>
      <c r="AE37" s="594"/>
      <c r="AF37" s="594"/>
      <c r="AG37" s="560">
        <f t="shared" si="13"/>
        <v>1</v>
      </c>
      <c r="AI37" s="579"/>
    </row>
    <row r="38" spans="1:33" ht="15.75" thickBot="1">
      <c r="A38" s="471"/>
      <c r="B38" s="590"/>
      <c r="C38" s="591"/>
      <c r="D38" s="591"/>
      <c r="E38" s="591"/>
      <c r="F38" s="591"/>
      <c r="G38" s="591"/>
      <c r="H38" s="473"/>
      <c r="I38" s="592"/>
      <c r="J38" s="592"/>
      <c r="K38" s="592"/>
      <c r="L38" s="595"/>
      <c r="M38" s="595"/>
      <c r="N38" s="595"/>
      <c r="O38" s="592"/>
      <c r="P38" s="592"/>
      <c r="Q38" s="592"/>
      <c r="R38" s="592"/>
      <c r="S38" s="592"/>
      <c r="T38" s="592"/>
      <c r="U38" s="592">
        <f t="shared" si="20"/>
        <v>0</v>
      </c>
      <c r="V38" s="593"/>
      <c r="W38" s="473"/>
      <c r="X38" s="473"/>
      <c r="Y38" s="473"/>
      <c r="Z38" s="473"/>
      <c r="AA38" s="473"/>
      <c r="AB38" s="473"/>
      <c r="AC38" s="596"/>
      <c r="AD38" s="594"/>
      <c r="AE38" s="594"/>
      <c r="AF38" s="594"/>
      <c r="AG38" s="597"/>
    </row>
    <row r="39" spans="1:33" ht="17.25" thickBot="1">
      <c r="A39" s="598" t="s">
        <v>174</v>
      </c>
      <c r="B39" s="599">
        <f aca="true" t="shared" si="22" ref="B39:Y39">+B25+B11</f>
        <v>16351966545.572586</v>
      </c>
      <c r="C39" s="599">
        <f t="shared" si="22"/>
        <v>222695456</v>
      </c>
      <c r="D39" s="599">
        <f t="shared" si="22"/>
        <v>-542884987</v>
      </c>
      <c r="E39" s="599">
        <f t="shared" si="22"/>
        <v>377837561</v>
      </c>
      <c r="F39" s="599">
        <f t="shared" si="22"/>
        <v>-60000000</v>
      </c>
      <c r="G39" s="599">
        <f t="shared" si="22"/>
        <v>0</v>
      </c>
      <c r="H39" s="599">
        <f t="shared" si="22"/>
        <v>16349614575.572586</v>
      </c>
      <c r="I39" s="599">
        <f t="shared" si="22"/>
        <v>3928602460.7695255</v>
      </c>
      <c r="J39" s="600">
        <f t="shared" si="22"/>
        <v>-1419441955</v>
      </c>
      <c r="K39" s="599">
        <f t="shared" si="22"/>
        <v>2509160505.7695255</v>
      </c>
      <c r="L39" s="600">
        <f t="shared" si="22"/>
        <v>3964733268.599021</v>
      </c>
      <c r="M39" s="600">
        <f t="shared" si="22"/>
        <v>-256313406</v>
      </c>
      <c r="N39" s="600">
        <f t="shared" si="22"/>
        <v>3708419862.599021</v>
      </c>
      <c r="O39" s="600">
        <f t="shared" si="22"/>
        <v>4102998171.8609257</v>
      </c>
      <c r="P39" s="600">
        <f t="shared" si="22"/>
        <v>-119368783</v>
      </c>
      <c r="Q39" s="600">
        <f t="shared" si="22"/>
        <v>3983629388.8609257</v>
      </c>
      <c r="R39" s="601">
        <f t="shared" si="22"/>
        <v>6151549215.343114</v>
      </c>
      <c r="S39" s="601">
        <f t="shared" si="22"/>
        <v>0</v>
      </c>
      <c r="T39" s="601">
        <f t="shared" si="22"/>
        <v>6151549215.343114</v>
      </c>
      <c r="U39" s="600">
        <f t="shared" si="22"/>
        <v>16352758972.572586</v>
      </c>
      <c r="V39" s="602">
        <f t="shared" si="22"/>
        <v>2509160506</v>
      </c>
      <c r="W39" s="599">
        <f t="shared" si="22"/>
        <v>3708419861</v>
      </c>
      <c r="X39" s="599">
        <f t="shared" si="22"/>
        <v>3983629387.7</v>
      </c>
      <c r="Y39" s="599">
        <f t="shared" si="22"/>
        <v>5622115301.308719</v>
      </c>
      <c r="Z39" s="599">
        <f>+Z31+Z27</f>
        <v>-128586187</v>
      </c>
      <c r="AA39" s="599">
        <f>+AA25+AA11</f>
        <v>15694738869.00872</v>
      </c>
      <c r="AB39" s="599">
        <f>+AB25+AB11</f>
        <v>-654875706.5638669</v>
      </c>
      <c r="AC39" s="603">
        <f aca="true" t="shared" si="23" ref="AC39:AC70">+V39/I39</f>
        <v>0.6386903564451037</v>
      </c>
      <c r="AD39" s="604"/>
      <c r="AE39" s="604"/>
      <c r="AF39" s="604"/>
      <c r="AG39" s="605">
        <f>+AA39/H39</f>
        <v>0.9599454957462854</v>
      </c>
    </row>
    <row r="40" spans="1:29" ht="15.75" hidden="1" outlineLevel="1">
      <c r="A40" s="474"/>
      <c r="B40" s="475"/>
      <c r="C40" s="475"/>
      <c r="D40" s="475"/>
      <c r="E40" s="475"/>
      <c r="F40" s="475"/>
      <c r="G40" s="475"/>
      <c r="H40" s="475"/>
      <c r="AC40" s="606" t="e">
        <f t="shared" si="23"/>
        <v>#DIV/0!</v>
      </c>
    </row>
    <row r="41" spans="1:29" ht="15.75" hidden="1" outlineLevel="1">
      <c r="A41" s="476" t="s">
        <v>336</v>
      </c>
      <c r="B41" s="477"/>
      <c r="C41" s="477"/>
      <c r="D41" s="477"/>
      <c r="E41" s="477"/>
      <c r="F41" s="477"/>
      <c r="G41" s="477"/>
      <c r="H41" s="477"/>
      <c r="AC41" s="566" t="e">
        <f t="shared" si="23"/>
        <v>#DIV/0!</v>
      </c>
    </row>
    <row r="42" spans="1:29" ht="16.5" hidden="1" outlineLevel="1">
      <c r="A42" s="476"/>
      <c r="B42" s="477"/>
      <c r="C42" s="477"/>
      <c r="D42" s="477"/>
      <c r="E42" s="477"/>
      <c r="F42" s="477"/>
      <c r="G42" s="477"/>
      <c r="H42" s="477"/>
      <c r="I42" s="607"/>
      <c r="J42" s="607"/>
      <c r="K42" s="607"/>
      <c r="L42" s="607"/>
      <c r="M42" s="607"/>
      <c r="N42" s="607"/>
      <c r="O42" s="607"/>
      <c r="P42" s="607"/>
      <c r="Q42" s="607"/>
      <c r="R42" s="607"/>
      <c r="S42" s="607"/>
      <c r="T42" s="607"/>
      <c r="U42" s="608">
        <f>+B14+B18+B22+B28+B33+B35+B36</f>
        <v>9644076564.37698</v>
      </c>
      <c r="V42" s="608"/>
      <c r="AC42" s="566" t="e">
        <f t="shared" si="23"/>
        <v>#DIV/0!</v>
      </c>
    </row>
    <row r="43" spans="1:29" ht="16.5" hidden="1" outlineLevel="1">
      <c r="A43" s="474"/>
      <c r="B43" s="477"/>
      <c r="C43" s="477"/>
      <c r="D43" s="477"/>
      <c r="E43" s="477"/>
      <c r="F43" s="477"/>
      <c r="G43" s="477"/>
      <c r="H43" s="477"/>
      <c r="I43" s="607"/>
      <c r="J43" s="607"/>
      <c r="K43" s="607"/>
      <c r="L43" s="607"/>
      <c r="M43" s="607"/>
      <c r="N43" s="607"/>
      <c r="O43" s="607"/>
      <c r="P43" s="607"/>
      <c r="Q43" s="607"/>
      <c r="R43" s="607"/>
      <c r="S43" s="607"/>
      <c r="T43" s="607"/>
      <c r="U43" s="608">
        <f>+CUOTAPPC2005+B19+B23+B29+VTAS2005+B34+B37</f>
        <v>6707889981.195605</v>
      </c>
      <c r="V43" s="608"/>
      <c r="AC43" s="566" t="e">
        <f t="shared" si="23"/>
        <v>#DIV/0!</v>
      </c>
    </row>
    <row r="44" spans="1:29" ht="15.75" hidden="1" outlineLevel="1">
      <c r="A44" s="474" t="s">
        <v>337</v>
      </c>
      <c r="B44" s="477"/>
      <c r="C44" s="477"/>
      <c r="D44" s="477"/>
      <c r="E44" s="477"/>
      <c r="F44" s="477"/>
      <c r="G44" s="477"/>
      <c r="H44" s="477"/>
      <c r="X44" s="478"/>
      <c r="AC44" s="566" t="e">
        <f t="shared" si="23"/>
        <v>#DIV/0!</v>
      </c>
    </row>
    <row r="45" spans="1:29" ht="15.75" hidden="1" outlineLevel="1">
      <c r="A45" s="474" t="s">
        <v>338</v>
      </c>
      <c r="B45" s="477"/>
      <c r="C45" s="477"/>
      <c r="D45" s="477"/>
      <c r="E45" s="477"/>
      <c r="F45" s="477"/>
      <c r="G45" s="477"/>
      <c r="H45" s="477"/>
      <c r="W45" s="609"/>
      <c r="AC45" s="566" t="e">
        <f t="shared" si="23"/>
        <v>#DIV/0!</v>
      </c>
    </row>
    <row r="46" spans="1:29" ht="16.5" hidden="1" outlineLevel="1">
      <c r="A46" s="479" t="s">
        <v>339</v>
      </c>
      <c r="B46" s="477"/>
      <c r="C46" s="477"/>
      <c r="D46" s="477"/>
      <c r="E46" s="477"/>
      <c r="F46" s="477"/>
      <c r="G46" s="477"/>
      <c r="H46" s="477"/>
      <c r="U46" s="610"/>
      <c r="V46" s="611"/>
      <c r="AC46" s="566" t="e">
        <f t="shared" si="23"/>
        <v>#DIV/0!</v>
      </c>
    </row>
    <row r="47" spans="1:29" ht="16.5" hidden="1" outlineLevel="1">
      <c r="A47" s="474"/>
      <c r="B47" s="480"/>
      <c r="C47" s="480"/>
      <c r="D47" s="480"/>
      <c r="E47" s="480"/>
      <c r="F47" s="480"/>
      <c r="G47" s="480"/>
      <c r="H47" s="480"/>
      <c r="U47" s="612"/>
      <c r="V47" s="613"/>
      <c r="AC47" s="566" t="e">
        <f t="shared" si="23"/>
        <v>#DIV/0!</v>
      </c>
    </row>
    <row r="48" spans="1:29" ht="15.75" hidden="1" outlineLevel="1">
      <c r="A48" s="479" t="s">
        <v>340</v>
      </c>
      <c r="B48" s="481"/>
      <c r="C48" s="481"/>
      <c r="D48" s="481"/>
      <c r="E48" s="481"/>
      <c r="F48" s="481"/>
      <c r="G48" s="481"/>
      <c r="H48" s="481"/>
      <c r="V48" s="614"/>
      <c r="AC48" s="566" t="e">
        <f t="shared" si="23"/>
        <v>#DIV/0!</v>
      </c>
    </row>
    <row r="49" spans="1:29" ht="15.75" hidden="1" outlineLevel="1">
      <c r="A49" s="474" t="s">
        <v>338</v>
      </c>
      <c r="B49" s="482"/>
      <c r="C49" s="482"/>
      <c r="D49" s="482"/>
      <c r="E49" s="482"/>
      <c r="F49" s="482"/>
      <c r="G49" s="482"/>
      <c r="H49" s="482"/>
      <c r="AC49" s="566" t="e">
        <f t="shared" si="23"/>
        <v>#DIV/0!</v>
      </c>
    </row>
    <row r="50" spans="1:29" ht="15.75" hidden="1" outlineLevel="1">
      <c r="A50" s="474" t="s">
        <v>341</v>
      </c>
      <c r="B50" s="615"/>
      <c r="C50" s="615"/>
      <c r="D50" s="615"/>
      <c r="E50" s="615"/>
      <c r="F50" s="615"/>
      <c r="G50" s="615"/>
      <c r="H50" s="615"/>
      <c r="I50" s="615"/>
      <c r="J50" s="615"/>
      <c r="K50" s="615"/>
      <c r="L50" s="615"/>
      <c r="M50" s="615"/>
      <c r="N50" s="615"/>
      <c r="O50" s="615"/>
      <c r="P50" s="615"/>
      <c r="Q50" s="615"/>
      <c r="R50" s="615"/>
      <c r="S50" s="615"/>
      <c r="T50" s="615"/>
      <c r="U50" s="580"/>
      <c r="AC50" s="566" t="e">
        <f t="shared" si="23"/>
        <v>#DIV/0!</v>
      </c>
    </row>
    <row r="51" spans="1:29" ht="15.75" hidden="1" outlineLevel="1">
      <c r="A51" s="479" t="s">
        <v>342</v>
      </c>
      <c r="B51" s="615"/>
      <c r="C51" s="615"/>
      <c r="D51" s="615"/>
      <c r="E51" s="615"/>
      <c r="F51" s="615"/>
      <c r="G51" s="615"/>
      <c r="H51" s="615"/>
      <c r="I51" s="615"/>
      <c r="J51" s="615"/>
      <c r="K51" s="615"/>
      <c r="L51" s="615"/>
      <c r="M51" s="615"/>
      <c r="N51" s="615"/>
      <c r="O51" s="615"/>
      <c r="P51" s="615"/>
      <c r="Q51" s="615"/>
      <c r="R51" s="615"/>
      <c r="S51" s="615"/>
      <c r="T51" s="615"/>
      <c r="U51" s="615"/>
      <c r="V51" s="578"/>
      <c r="AC51" s="566" t="e">
        <f t="shared" si="23"/>
        <v>#DIV/0!</v>
      </c>
    </row>
    <row r="52" spans="1:29" ht="15.75" hidden="1" outlineLevel="1">
      <c r="A52" s="474"/>
      <c r="B52" s="474"/>
      <c r="C52" s="474"/>
      <c r="D52" s="474"/>
      <c r="E52" s="474"/>
      <c r="F52" s="474"/>
      <c r="G52" s="474"/>
      <c r="H52" s="474"/>
      <c r="AC52" s="566" t="e">
        <f t="shared" si="23"/>
        <v>#DIV/0!</v>
      </c>
    </row>
    <row r="53" spans="1:29" ht="15.75" hidden="1" outlineLevel="1">
      <c r="A53" s="479" t="s">
        <v>343</v>
      </c>
      <c r="B53" s="616"/>
      <c r="C53" s="616"/>
      <c r="D53" s="616"/>
      <c r="E53" s="616"/>
      <c r="F53" s="616"/>
      <c r="G53" s="616"/>
      <c r="H53" s="616"/>
      <c r="AC53" s="566" t="e">
        <f t="shared" si="23"/>
        <v>#DIV/0!</v>
      </c>
    </row>
    <row r="54" spans="1:29" ht="15.75" hidden="1" outlineLevel="1">
      <c r="A54" s="474" t="s">
        <v>344</v>
      </c>
      <c r="B54" s="617"/>
      <c r="C54" s="617"/>
      <c r="D54" s="617"/>
      <c r="E54" s="617"/>
      <c r="F54" s="617"/>
      <c r="G54" s="617"/>
      <c r="H54" s="617"/>
      <c r="I54" s="618"/>
      <c r="J54" s="618"/>
      <c r="K54" s="618"/>
      <c r="L54" s="618"/>
      <c r="M54" s="618"/>
      <c r="N54" s="618"/>
      <c r="O54" s="618"/>
      <c r="P54" s="618"/>
      <c r="Q54" s="618"/>
      <c r="R54" s="618"/>
      <c r="S54" s="618"/>
      <c r="T54" s="618"/>
      <c r="AC54" s="566" t="e">
        <f t="shared" si="23"/>
        <v>#DIV/0!</v>
      </c>
    </row>
    <row r="55" spans="1:29" ht="15.75" hidden="1" outlineLevel="1">
      <c r="A55" s="474" t="s">
        <v>345</v>
      </c>
      <c r="B55" s="478"/>
      <c r="C55" s="478"/>
      <c r="D55" s="478"/>
      <c r="E55" s="478"/>
      <c r="F55" s="478"/>
      <c r="G55" s="478"/>
      <c r="H55" s="478"/>
      <c r="I55" s="618"/>
      <c r="J55" s="618"/>
      <c r="K55" s="618"/>
      <c r="L55" s="618"/>
      <c r="M55" s="618"/>
      <c r="N55" s="618"/>
      <c r="O55" s="618"/>
      <c r="P55" s="618"/>
      <c r="Q55" s="618"/>
      <c r="R55" s="618"/>
      <c r="S55" s="618"/>
      <c r="T55" s="618"/>
      <c r="AC55" s="566" t="e">
        <f t="shared" si="23"/>
        <v>#DIV/0!</v>
      </c>
    </row>
    <row r="56" spans="1:29" ht="15.75" hidden="1" outlineLevel="1">
      <c r="A56" s="474"/>
      <c r="B56" s="483"/>
      <c r="C56" s="483"/>
      <c r="D56" s="483"/>
      <c r="E56" s="483"/>
      <c r="F56" s="483"/>
      <c r="G56" s="483"/>
      <c r="H56" s="483"/>
      <c r="I56" s="455"/>
      <c r="J56" s="455"/>
      <c r="K56" s="455"/>
      <c r="L56" s="455"/>
      <c r="M56" s="455"/>
      <c r="N56" s="455"/>
      <c r="O56" s="455"/>
      <c r="P56" s="455"/>
      <c r="Q56" s="455"/>
      <c r="R56" s="455"/>
      <c r="S56" s="455"/>
      <c r="T56" s="455"/>
      <c r="U56" s="455"/>
      <c r="V56" s="455"/>
      <c r="W56" s="455"/>
      <c r="AC56" s="566" t="e">
        <f t="shared" si="23"/>
        <v>#DIV/0!</v>
      </c>
    </row>
    <row r="57" spans="1:29" ht="15.75" hidden="1" outlineLevel="1">
      <c r="A57" s="485" t="s">
        <v>320</v>
      </c>
      <c r="B57" s="486"/>
      <c r="C57" s="486"/>
      <c r="D57" s="486"/>
      <c r="E57" s="486"/>
      <c r="F57" s="486"/>
      <c r="G57" s="486"/>
      <c r="H57" s="486"/>
      <c r="I57" s="455"/>
      <c r="J57" s="455"/>
      <c r="K57" s="455"/>
      <c r="L57" s="455"/>
      <c r="M57" s="455"/>
      <c r="N57" s="455"/>
      <c r="O57" s="455"/>
      <c r="P57" s="455"/>
      <c r="Q57" s="455"/>
      <c r="R57" s="455"/>
      <c r="S57" s="455"/>
      <c r="T57" s="455"/>
      <c r="U57" s="455"/>
      <c r="V57" s="455"/>
      <c r="W57" s="455"/>
      <c r="AC57" s="566" t="e">
        <f t="shared" si="23"/>
        <v>#DIV/0!</v>
      </c>
    </row>
    <row r="58" spans="1:29" ht="15.75" hidden="1" outlineLevel="1">
      <c r="A58" s="474" t="s">
        <v>346</v>
      </c>
      <c r="B58" s="487" t="s">
        <v>347</v>
      </c>
      <c r="C58" s="487"/>
      <c r="D58" s="487"/>
      <c r="E58" s="487"/>
      <c r="F58" s="487"/>
      <c r="G58" s="487"/>
      <c r="H58" s="487"/>
      <c r="I58" s="455"/>
      <c r="J58" s="455"/>
      <c r="K58" s="455"/>
      <c r="L58" s="455"/>
      <c r="M58" s="455"/>
      <c r="N58" s="455"/>
      <c r="O58" s="455"/>
      <c r="P58" s="455"/>
      <c r="Q58" s="455"/>
      <c r="R58" s="455"/>
      <c r="S58" s="455"/>
      <c r="T58" s="455"/>
      <c r="U58" s="455"/>
      <c r="V58" s="455"/>
      <c r="W58" s="455"/>
      <c r="AC58" s="566" t="e">
        <f t="shared" si="23"/>
        <v>#DIV/0!</v>
      </c>
    </row>
    <row r="59" spans="1:29" ht="15.75" hidden="1" outlineLevel="1">
      <c r="A59" s="474" t="s">
        <v>348</v>
      </c>
      <c r="B59" s="487" t="s">
        <v>347</v>
      </c>
      <c r="C59" s="487"/>
      <c r="D59" s="487"/>
      <c r="E59" s="487"/>
      <c r="F59" s="487"/>
      <c r="G59" s="487"/>
      <c r="H59" s="487"/>
      <c r="I59" s="455"/>
      <c r="J59" s="455"/>
      <c r="K59" s="455"/>
      <c r="L59" s="455"/>
      <c r="M59" s="455"/>
      <c r="N59" s="455"/>
      <c r="O59" s="455"/>
      <c r="P59" s="455"/>
      <c r="Q59" s="455"/>
      <c r="R59" s="455"/>
      <c r="S59" s="455"/>
      <c r="T59" s="455"/>
      <c r="U59" s="455"/>
      <c r="V59" s="455" t="s">
        <v>349</v>
      </c>
      <c r="W59" s="455"/>
      <c r="AC59" s="566" t="e">
        <f t="shared" si="23"/>
        <v>#VALUE!</v>
      </c>
    </row>
    <row r="60" spans="1:29" ht="15.75" hidden="1" outlineLevel="1">
      <c r="A60" s="474" t="s">
        <v>350</v>
      </c>
      <c r="B60" s="487" t="s">
        <v>351</v>
      </c>
      <c r="C60" s="487"/>
      <c r="D60" s="487"/>
      <c r="E60" s="487"/>
      <c r="F60" s="487"/>
      <c r="G60" s="487"/>
      <c r="H60" s="487"/>
      <c r="I60" s="619"/>
      <c r="J60" s="619"/>
      <c r="K60" s="619"/>
      <c r="L60" s="619"/>
      <c r="M60" s="619"/>
      <c r="N60" s="619"/>
      <c r="O60" s="619"/>
      <c r="P60" s="619"/>
      <c r="Q60" s="619"/>
      <c r="R60" s="619"/>
      <c r="S60" s="619"/>
      <c r="T60" s="619"/>
      <c r="U60" s="455"/>
      <c r="V60" s="455"/>
      <c r="W60" s="455"/>
      <c r="AC60" s="566" t="e">
        <f t="shared" si="23"/>
        <v>#DIV/0!</v>
      </c>
    </row>
    <row r="61" spans="1:29" ht="15.75" hidden="1" outlineLevel="1">
      <c r="A61" s="474" t="s">
        <v>352</v>
      </c>
      <c r="B61" s="487" t="s">
        <v>347</v>
      </c>
      <c r="C61" s="487"/>
      <c r="D61" s="487"/>
      <c r="E61" s="487"/>
      <c r="F61" s="487"/>
      <c r="G61" s="487"/>
      <c r="H61" s="487"/>
      <c r="I61" s="619"/>
      <c r="J61" s="619"/>
      <c r="K61" s="619"/>
      <c r="L61" s="619"/>
      <c r="M61" s="619"/>
      <c r="N61" s="619"/>
      <c r="O61" s="619"/>
      <c r="P61" s="619"/>
      <c r="Q61" s="619"/>
      <c r="R61" s="619"/>
      <c r="S61" s="619"/>
      <c r="T61" s="619"/>
      <c r="U61" s="455">
        <f>3000000</f>
        <v>3000000</v>
      </c>
      <c r="V61" s="455"/>
      <c r="W61" s="455"/>
      <c r="AC61" s="566" t="e">
        <f t="shared" si="23"/>
        <v>#DIV/0!</v>
      </c>
    </row>
    <row r="62" spans="1:29" ht="15.75" hidden="1" outlineLevel="1">
      <c r="A62" s="485" t="s">
        <v>353</v>
      </c>
      <c r="B62" s="487"/>
      <c r="C62" s="487"/>
      <c r="D62" s="487"/>
      <c r="E62" s="487"/>
      <c r="F62" s="487"/>
      <c r="G62" s="487"/>
      <c r="H62" s="487"/>
      <c r="I62" s="455"/>
      <c r="J62" s="455"/>
      <c r="K62" s="455"/>
      <c r="L62" s="455"/>
      <c r="M62" s="455"/>
      <c r="N62" s="455"/>
      <c r="O62" s="455"/>
      <c r="P62" s="455"/>
      <c r="Q62" s="455"/>
      <c r="R62" s="455"/>
      <c r="S62" s="455"/>
      <c r="T62" s="455"/>
      <c r="U62" s="455"/>
      <c r="V62" s="455">
        <f>300</f>
        <v>300</v>
      </c>
      <c r="W62" s="455"/>
      <c r="AC62" s="566" t="e">
        <f t="shared" si="23"/>
        <v>#DIV/0!</v>
      </c>
    </row>
    <row r="63" spans="1:29" ht="15.75" hidden="1" outlineLevel="1">
      <c r="A63" s="488" t="s">
        <v>354</v>
      </c>
      <c r="B63" s="489"/>
      <c r="C63" s="489"/>
      <c r="D63" s="489"/>
      <c r="E63" s="489"/>
      <c r="F63" s="489"/>
      <c r="G63" s="489"/>
      <c r="H63" s="489"/>
      <c r="I63" s="455"/>
      <c r="J63" s="455"/>
      <c r="K63" s="455"/>
      <c r="L63" s="455"/>
      <c r="M63" s="455"/>
      <c r="N63" s="455"/>
      <c r="O63" s="455"/>
      <c r="P63" s="455"/>
      <c r="Q63" s="455"/>
      <c r="R63" s="455"/>
      <c r="S63" s="455"/>
      <c r="T63" s="455"/>
      <c r="U63" s="455"/>
      <c r="V63" s="455"/>
      <c r="W63" s="455"/>
      <c r="AC63" s="566" t="e">
        <f t="shared" si="23"/>
        <v>#DIV/0!</v>
      </c>
    </row>
    <row r="64" spans="1:29" ht="15.75" hidden="1" outlineLevel="1">
      <c r="A64" s="474" t="s">
        <v>331</v>
      </c>
      <c r="B64" s="489"/>
      <c r="C64" s="489"/>
      <c r="D64" s="489"/>
      <c r="E64" s="489"/>
      <c r="F64" s="489"/>
      <c r="G64" s="489"/>
      <c r="H64" s="489"/>
      <c r="I64" s="455"/>
      <c r="J64" s="455"/>
      <c r="K64" s="455"/>
      <c r="L64" s="455"/>
      <c r="M64" s="455"/>
      <c r="N64" s="455"/>
      <c r="O64" s="455"/>
      <c r="P64" s="455"/>
      <c r="Q64" s="455"/>
      <c r="R64" s="455"/>
      <c r="S64" s="455"/>
      <c r="T64" s="455"/>
      <c r="U64" s="455"/>
      <c r="V64" s="455"/>
      <c r="W64" s="455"/>
      <c r="AC64" s="566" t="e">
        <f t="shared" si="23"/>
        <v>#DIV/0!</v>
      </c>
    </row>
    <row r="65" spans="1:29" ht="15.75" hidden="1" outlineLevel="1">
      <c r="A65" s="474" t="s">
        <v>332</v>
      </c>
      <c r="B65" s="489"/>
      <c r="C65" s="489"/>
      <c r="D65" s="489"/>
      <c r="E65" s="489"/>
      <c r="F65" s="489"/>
      <c r="G65" s="489"/>
      <c r="H65" s="489"/>
      <c r="I65" s="455"/>
      <c r="J65" s="455"/>
      <c r="K65" s="455"/>
      <c r="L65" s="455"/>
      <c r="M65" s="455"/>
      <c r="N65" s="455"/>
      <c r="O65" s="455"/>
      <c r="P65" s="455"/>
      <c r="Q65" s="455"/>
      <c r="R65" s="455"/>
      <c r="S65" s="455"/>
      <c r="T65" s="455"/>
      <c r="U65" s="455"/>
      <c r="V65" s="455"/>
      <c r="W65" s="455"/>
      <c r="AC65" s="566" t="e">
        <f t="shared" si="23"/>
        <v>#DIV/0!</v>
      </c>
    </row>
    <row r="66" spans="1:29" ht="15.75" hidden="1" outlineLevel="1">
      <c r="A66" s="485" t="s">
        <v>355</v>
      </c>
      <c r="B66" s="490"/>
      <c r="C66" s="490"/>
      <c r="D66" s="490"/>
      <c r="E66" s="490"/>
      <c r="F66" s="490"/>
      <c r="G66" s="490"/>
      <c r="H66" s="620"/>
      <c r="I66" s="455"/>
      <c r="J66" s="455"/>
      <c r="K66" s="455"/>
      <c r="L66" s="455"/>
      <c r="M66" s="455"/>
      <c r="N66" s="455"/>
      <c r="O66" s="455"/>
      <c r="P66" s="455"/>
      <c r="Q66" s="455"/>
      <c r="R66" s="455"/>
      <c r="S66" s="455"/>
      <c r="T66" s="455"/>
      <c r="U66" s="455"/>
      <c r="V66" s="455"/>
      <c r="W66" s="455"/>
      <c r="AC66" s="566" t="e">
        <f t="shared" si="23"/>
        <v>#DIV/0!</v>
      </c>
    </row>
    <row r="67" spans="1:29" ht="15.75" hidden="1" outlineLevel="1">
      <c r="A67" s="485" t="s">
        <v>356</v>
      </c>
      <c r="B67" s="491" t="s">
        <v>357</v>
      </c>
      <c r="C67" s="491"/>
      <c r="D67" s="491"/>
      <c r="E67" s="491"/>
      <c r="F67" s="491"/>
      <c r="G67" s="491"/>
      <c r="H67" s="487"/>
      <c r="I67" s="455"/>
      <c r="J67" s="455"/>
      <c r="K67" s="455"/>
      <c r="L67" s="455"/>
      <c r="M67" s="455"/>
      <c r="N67" s="455"/>
      <c r="O67" s="455"/>
      <c r="P67" s="455"/>
      <c r="Q67" s="455"/>
      <c r="R67" s="455"/>
      <c r="S67" s="455"/>
      <c r="T67" s="455"/>
      <c r="U67" s="455"/>
      <c r="V67" s="455"/>
      <c r="W67" s="455"/>
      <c r="AC67" s="566" t="e">
        <f t="shared" si="23"/>
        <v>#DIV/0!</v>
      </c>
    </row>
    <row r="68" spans="1:29" ht="15.75" hidden="1" outlineLevel="1">
      <c r="A68" s="474" t="s">
        <v>331</v>
      </c>
      <c r="B68" s="491" t="s">
        <v>357</v>
      </c>
      <c r="C68" s="491"/>
      <c r="D68" s="491"/>
      <c r="E68" s="491"/>
      <c r="F68" s="491"/>
      <c r="G68" s="491"/>
      <c r="H68" s="487"/>
      <c r="I68" s="455"/>
      <c r="J68" s="455"/>
      <c r="K68" s="455"/>
      <c r="L68" s="455"/>
      <c r="M68" s="455"/>
      <c r="N68" s="455"/>
      <c r="O68" s="455"/>
      <c r="P68" s="455"/>
      <c r="Q68" s="455"/>
      <c r="R68" s="455"/>
      <c r="S68" s="455"/>
      <c r="T68" s="455"/>
      <c r="U68" s="455"/>
      <c r="V68" s="455"/>
      <c r="W68" s="455"/>
      <c r="AC68" s="566" t="e">
        <f t="shared" si="23"/>
        <v>#DIV/0!</v>
      </c>
    </row>
    <row r="69" spans="1:29" ht="15.75" hidden="1" outlineLevel="1">
      <c r="A69" s="474" t="s">
        <v>332</v>
      </c>
      <c r="B69" s="492"/>
      <c r="C69" s="492"/>
      <c r="D69" s="492"/>
      <c r="E69" s="492"/>
      <c r="F69" s="492"/>
      <c r="G69" s="492"/>
      <c r="H69" s="621"/>
      <c r="I69" s="455"/>
      <c r="J69" s="455"/>
      <c r="K69" s="455"/>
      <c r="L69" s="455"/>
      <c r="M69" s="455"/>
      <c r="N69" s="455"/>
      <c r="O69" s="455"/>
      <c r="P69" s="455"/>
      <c r="Q69" s="455"/>
      <c r="R69" s="455"/>
      <c r="S69" s="455"/>
      <c r="T69" s="455"/>
      <c r="U69" s="455"/>
      <c r="V69" s="455"/>
      <c r="W69" s="455"/>
      <c r="AC69" s="566" t="e">
        <f t="shared" si="23"/>
        <v>#DIV/0!</v>
      </c>
    </row>
    <row r="70" spans="1:29" ht="15.75" hidden="1" outlineLevel="1">
      <c r="A70" s="485" t="s">
        <v>334</v>
      </c>
      <c r="B70" s="484"/>
      <c r="C70" s="484"/>
      <c r="D70" s="484"/>
      <c r="E70" s="484"/>
      <c r="F70" s="484"/>
      <c r="G70" s="484"/>
      <c r="H70" s="455"/>
      <c r="I70" s="455"/>
      <c r="J70" s="455"/>
      <c r="K70" s="455"/>
      <c r="L70" s="455"/>
      <c r="M70" s="455"/>
      <c r="N70" s="455"/>
      <c r="O70" s="455"/>
      <c r="P70" s="455"/>
      <c r="Q70" s="455"/>
      <c r="R70" s="455"/>
      <c r="S70" s="455"/>
      <c r="T70" s="455"/>
      <c r="U70" s="455"/>
      <c r="V70" s="455"/>
      <c r="W70" s="455"/>
      <c r="AC70" s="566" t="e">
        <f t="shared" si="23"/>
        <v>#DIV/0!</v>
      </c>
    </row>
    <row r="71" spans="1:29" ht="15" collapsed="1">
      <c r="A71"/>
      <c r="T71" s="579"/>
      <c r="AC71" s="622"/>
    </row>
    <row r="72" spans="1:35" ht="19.5">
      <c r="A72"/>
      <c r="H72" s="454" t="s">
        <v>445</v>
      </c>
      <c r="K72" s="609"/>
      <c r="N72" s="579"/>
      <c r="O72" s="579"/>
      <c r="U72" s="623" t="s">
        <v>358</v>
      </c>
      <c r="V72" s="624">
        <f>+V36+V35+V33+V28+V22+V18+V14</f>
        <v>1177792078</v>
      </c>
      <c r="W72" s="624">
        <f>+W36+W35+W33+W28+W22+W18+W14</f>
        <v>1936878640</v>
      </c>
      <c r="X72" s="624">
        <f>+X36+X35+X33+X28+X22+X18+X14</f>
        <v>2589521423.95</v>
      </c>
      <c r="Y72" s="624">
        <f>+Y36+Y35+Y33+Y28+Y22+Y18+Y14</f>
        <v>3358388280.4872904</v>
      </c>
      <c r="Z72" s="625" t="s">
        <v>319</v>
      </c>
      <c r="AA72" s="624">
        <f>+AA36+AA35+AA33+AA28+AA22+AA18+AA14</f>
        <v>8933994235.43729</v>
      </c>
      <c r="AC72" s="622"/>
      <c r="AH72" s="614" t="s">
        <v>446</v>
      </c>
      <c r="AI72" s="454" t="s">
        <v>447</v>
      </c>
    </row>
    <row r="73" spans="1:35" ht="19.5">
      <c r="A73"/>
      <c r="H73" s="454" t="s">
        <v>448</v>
      </c>
      <c r="K73" s="614"/>
      <c r="U73" s="623" t="s">
        <v>359</v>
      </c>
      <c r="V73" s="624">
        <f>+'[9]RES'!$N$56-'[9]PPC'!$Z$72</f>
        <v>1177792077.4179997</v>
      </c>
      <c r="W73" s="624">
        <f>+'[9]RES'!$O$56-'[9]PPC'!$AA$72</f>
        <v>1936878640.4700003</v>
      </c>
      <c r="X73" s="626">
        <f>+'[9]RES'!$P$56-'[9]PPC'!$AB$72</f>
        <v>2589521424.15</v>
      </c>
      <c r="Y73" s="626">
        <f>+'[9]RES'!$Q$56-'[9]PPC'!$AC$72</f>
        <v>2795213197.0500007</v>
      </c>
      <c r="Z73" s="627"/>
      <c r="AA73" s="624">
        <f>+V73+W73+X73+Y73</f>
        <v>8499405339.088001</v>
      </c>
      <c r="AC73" s="622"/>
      <c r="AH73" s="614" t="s">
        <v>449</v>
      </c>
      <c r="AI73" s="454" t="s">
        <v>450</v>
      </c>
    </row>
    <row r="74" spans="1:35" ht="19.5">
      <c r="A74"/>
      <c r="K74" s="609"/>
      <c r="U74" s="623" t="s">
        <v>167</v>
      </c>
      <c r="V74" s="628">
        <f>+V72-V73</f>
        <v>0.5820002555847168</v>
      </c>
      <c r="W74" s="628">
        <f>+W72-W73</f>
        <v>-0.4700002670288086</v>
      </c>
      <c r="X74" s="628">
        <f>+X72-X73</f>
        <v>-0.20000028610229492</v>
      </c>
      <c r="Y74" s="628">
        <f>+Y72-Y73</f>
        <v>563175083.4372897</v>
      </c>
      <c r="Z74" s="629"/>
      <c r="AA74" s="624">
        <f>+AA72-AA73</f>
        <v>434588896.34928894</v>
      </c>
      <c r="AC74" s="622"/>
      <c r="AH74" s="624">
        <v>748461637</v>
      </c>
      <c r="AI74" s="624">
        <f>+AA74-AH74</f>
        <v>-313872740.65071106</v>
      </c>
    </row>
    <row r="75" spans="1:29" ht="19.5">
      <c r="A75"/>
      <c r="T75" s="609"/>
      <c r="U75" s="630"/>
      <c r="V75" s="631"/>
      <c r="W75" s="631"/>
      <c r="X75" s="631"/>
      <c r="Y75" s="631"/>
      <c r="Z75" s="632"/>
      <c r="AA75" s="578"/>
      <c r="AC75" s="622"/>
    </row>
    <row r="76" spans="1:35" ht="19.5">
      <c r="A76"/>
      <c r="H76" s="454" t="s">
        <v>451</v>
      </c>
      <c r="T76" s="578"/>
      <c r="U76" s="623" t="s">
        <v>360</v>
      </c>
      <c r="V76" s="626">
        <f>+V37+V34+V32+V29+V23+V19+V15</f>
        <v>1331368428</v>
      </c>
      <c r="W76" s="626">
        <f>+W37+W34+W32+W29+W23+W19+W15</f>
        <v>1771541221</v>
      </c>
      <c r="X76" s="626">
        <f>+X37+X34+X32+X29+X23+X19+X15</f>
        <v>1394107963.75</v>
      </c>
      <c r="Y76" s="626">
        <f>+Y37+Y34+Y32+Y29+Y23+Y19+Y15</f>
        <v>2263727020.8214283</v>
      </c>
      <c r="Z76" s="627"/>
      <c r="AA76" s="626">
        <f>+AA37+AA34+AA32+AA29+AA23+AA19+AA15</f>
        <v>6760744633.571428</v>
      </c>
      <c r="AC76" s="622"/>
      <c r="AH76" s="614" t="s">
        <v>446</v>
      </c>
      <c r="AI76" s="454" t="s">
        <v>447</v>
      </c>
    </row>
    <row r="77" spans="1:35" ht="19.5">
      <c r="A77"/>
      <c r="H77" s="454" t="s">
        <v>452</v>
      </c>
      <c r="U77" s="623" t="s">
        <v>361</v>
      </c>
      <c r="V77" s="626">
        <f>+'[9]PPC'!$Z$72</f>
        <v>1222845746.23</v>
      </c>
      <c r="W77" s="626">
        <f>+'[9]PPC'!$AA$72</f>
        <v>1771541220.6</v>
      </c>
      <c r="X77" s="633">
        <f>+'[9]PPC'!$AB$72</f>
        <v>1223473358.02</v>
      </c>
      <c r="Y77" s="633">
        <f>+'[9]PPC'!$AC$72</f>
        <v>1688982004.31</v>
      </c>
      <c r="Z77" s="634"/>
      <c r="AA77" s="624">
        <f>+V77+W77+X77+Y77</f>
        <v>5906842329.16</v>
      </c>
      <c r="AC77" s="622"/>
      <c r="AH77" s="614" t="s">
        <v>449</v>
      </c>
      <c r="AI77" s="454" t="s">
        <v>450</v>
      </c>
    </row>
    <row r="78" spans="1:35" ht="19.5">
      <c r="A78"/>
      <c r="U78" s="623" t="s">
        <v>167</v>
      </c>
      <c r="V78" s="635">
        <f>+V76-V77</f>
        <v>108522681.76999998</v>
      </c>
      <c r="W78" s="635">
        <f>+W76-W77</f>
        <v>0.40000009536743164</v>
      </c>
      <c r="X78" s="635">
        <f>+X76-X77</f>
        <v>170634605.73000002</v>
      </c>
      <c r="Y78" s="635">
        <f>+Y76-Y77</f>
        <v>574745016.5114284</v>
      </c>
      <c r="Z78" s="636"/>
      <c r="AA78" s="624">
        <f>+AA76-AA77</f>
        <v>853902304.4114285</v>
      </c>
      <c r="AC78" s="622"/>
      <c r="AH78" s="624">
        <v>624675423</v>
      </c>
      <c r="AI78" s="624">
        <f>+AA78-AH78</f>
        <v>229226881.41142845</v>
      </c>
    </row>
    <row r="79" spans="1:29" ht="15">
      <c r="A79"/>
      <c r="X79" s="609"/>
      <c r="AC79" s="622"/>
    </row>
    <row r="80" spans="1:29" ht="15">
      <c r="A80"/>
      <c r="J80" s="609"/>
      <c r="X80" s="609"/>
      <c r="AC80" s="622"/>
    </row>
    <row r="81" spans="1:29" ht="15">
      <c r="A81"/>
      <c r="X81" s="579"/>
      <c r="AC81" s="622"/>
    </row>
    <row r="82" spans="1:29" ht="15">
      <c r="A82"/>
      <c r="X82" s="579"/>
      <c r="AC82" s="622"/>
    </row>
    <row r="83" spans="1:29" ht="15">
      <c r="A83"/>
      <c r="AC83" s="622"/>
    </row>
    <row r="84" spans="1:29" ht="15">
      <c r="A84"/>
      <c r="AC84" s="622"/>
    </row>
    <row r="85" spans="1:29" ht="15">
      <c r="A85"/>
      <c r="AC85" s="622"/>
    </row>
    <row r="86" spans="1:29" ht="15">
      <c r="A86"/>
      <c r="AC86" s="622"/>
    </row>
    <row r="87" spans="1:29" ht="15">
      <c r="A87"/>
      <c r="AC87" s="622"/>
    </row>
    <row r="88" spans="1:29" ht="15">
      <c r="A88"/>
      <c r="AC88" s="622"/>
    </row>
    <row r="89" spans="1:29" ht="15">
      <c r="A89"/>
      <c r="AC89" s="622"/>
    </row>
    <row r="90" spans="1:29" ht="15">
      <c r="A90"/>
      <c r="AC90" s="622"/>
    </row>
    <row r="91" spans="1:29" ht="15">
      <c r="A91"/>
      <c r="AC91" s="622"/>
    </row>
    <row r="92" spans="1:29" ht="15">
      <c r="A92"/>
      <c r="AC92" s="622"/>
    </row>
    <row r="93" spans="1:29" ht="15">
      <c r="A93"/>
      <c r="AC93" s="622"/>
    </row>
    <row r="94" spans="1:29" ht="15">
      <c r="A94"/>
      <c r="AC94" s="622"/>
    </row>
    <row r="95" spans="1:29" ht="15">
      <c r="A95"/>
      <c r="AC95" s="622"/>
    </row>
    <row r="96" spans="1:29" ht="15">
      <c r="A96"/>
      <c r="AC96" s="622"/>
    </row>
    <row r="97" spans="1:29" ht="15">
      <c r="A97"/>
      <c r="AC97" s="622"/>
    </row>
    <row r="98" spans="1:29" ht="15">
      <c r="A98"/>
      <c r="AC98" s="622"/>
    </row>
    <row r="99" spans="1:29" ht="15">
      <c r="A99"/>
      <c r="AC99" s="622"/>
    </row>
    <row r="100" spans="1:29" ht="15">
      <c r="A100"/>
      <c r="AC100" s="622"/>
    </row>
    <row r="101" spans="1:29" ht="15">
      <c r="A101"/>
      <c r="AC101" s="622"/>
    </row>
    <row r="102" spans="1:29" ht="15">
      <c r="A102"/>
      <c r="AC102" s="622"/>
    </row>
    <row r="103" spans="1:29" ht="15">
      <c r="A103"/>
      <c r="AC103" s="622"/>
    </row>
    <row r="104" spans="1:29" ht="15">
      <c r="A104"/>
      <c r="AC104" s="622"/>
    </row>
    <row r="105" spans="1:29" ht="15">
      <c r="A105"/>
      <c r="AC105" s="622"/>
    </row>
    <row r="106" spans="1:29" ht="15">
      <c r="A106"/>
      <c r="AC106" s="622"/>
    </row>
    <row r="107" spans="1:29" ht="15">
      <c r="A107"/>
      <c r="AC107" s="622"/>
    </row>
    <row r="108" spans="1:29" ht="15">
      <c r="A108"/>
      <c r="AC108" s="622"/>
    </row>
    <row r="109" spans="1:29" ht="15">
      <c r="A109"/>
      <c r="AC109" s="622"/>
    </row>
    <row r="110" spans="1:29" ht="15">
      <c r="A110"/>
      <c r="AC110" s="622"/>
    </row>
    <row r="111" spans="1:29" ht="15">
      <c r="A111"/>
      <c r="AC111" s="622"/>
    </row>
    <row r="112" spans="1:29" ht="15">
      <c r="A112"/>
      <c r="AC112" s="622"/>
    </row>
    <row r="113" spans="1:29" ht="15">
      <c r="A113"/>
      <c r="AC113" s="622"/>
    </row>
    <row r="114" spans="1:29" ht="15">
      <c r="A114"/>
      <c r="AC114" s="622"/>
    </row>
    <row r="115" spans="1:29" ht="15">
      <c r="A115"/>
      <c r="AC115" s="622"/>
    </row>
    <row r="116" spans="1:29" ht="15">
      <c r="A116"/>
      <c r="AC116" s="622"/>
    </row>
    <row r="117" spans="1:29" ht="15">
      <c r="A117"/>
      <c r="AC117" s="622"/>
    </row>
    <row r="118" spans="1:29" ht="15">
      <c r="A118"/>
      <c r="AC118" s="622"/>
    </row>
    <row r="119" spans="1:29" ht="15">
      <c r="A119"/>
      <c r="AC119" s="622"/>
    </row>
    <row r="120" spans="1:29" ht="15">
      <c r="A120"/>
      <c r="AC120" s="622"/>
    </row>
    <row r="121" spans="1:29" ht="15">
      <c r="A121"/>
      <c r="AC121" s="622"/>
    </row>
    <row r="122" spans="1:29" ht="15">
      <c r="A122"/>
      <c r="AC122" s="622"/>
    </row>
    <row r="123" spans="1:29" ht="15">
      <c r="A123"/>
      <c r="AC123" s="622"/>
    </row>
    <row r="124" spans="1:29" ht="15">
      <c r="A124"/>
      <c r="AC124" s="622"/>
    </row>
    <row r="125" spans="1:29" ht="15">
      <c r="A125"/>
      <c r="AC125" s="622"/>
    </row>
    <row r="126" spans="1:29" ht="15">
      <c r="A126"/>
      <c r="AC126" s="622"/>
    </row>
    <row r="127" spans="1:29" ht="15">
      <c r="A127"/>
      <c r="AC127" s="622"/>
    </row>
    <row r="128" spans="1:29" ht="15">
      <c r="A128"/>
      <c r="AC128" s="622"/>
    </row>
    <row r="129" spans="1:29" ht="15">
      <c r="A129"/>
      <c r="AC129" s="622"/>
    </row>
    <row r="130" spans="1:29" ht="15">
      <c r="A130"/>
      <c r="AC130" s="622"/>
    </row>
    <row r="131" ht="15">
      <c r="AC131" s="622"/>
    </row>
    <row r="132" ht="15">
      <c r="AC132" s="622"/>
    </row>
    <row r="133" ht="15">
      <c r="AC133" s="622"/>
    </row>
    <row r="134" ht="15">
      <c r="AC134" s="622"/>
    </row>
    <row r="135" ht="15">
      <c r="AC135" s="622"/>
    </row>
    <row r="136" ht="15">
      <c r="AC136" s="622"/>
    </row>
    <row r="137" ht="15">
      <c r="AC137" s="622"/>
    </row>
    <row r="138" ht="15">
      <c r="AC138" s="622"/>
    </row>
    <row r="139" ht="15">
      <c r="AC139" s="622"/>
    </row>
    <row r="140" ht="15">
      <c r="AC140" s="622"/>
    </row>
    <row r="141" ht="15">
      <c r="AC141" s="622"/>
    </row>
    <row r="142" ht="15">
      <c r="AC142" s="622"/>
    </row>
    <row r="143" ht="15">
      <c r="AC143" s="622"/>
    </row>
    <row r="144" ht="15">
      <c r="AC144" s="622"/>
    </row>
    <row r="145" ht="15">
      <c r="AC145" s="622"/>
    </row>
    <row r="146" ht="15">
      <c r="AC146" s="622"/>
    </row>
    <row r="147" ht="15">
      <c r="AC147" s="622"/>
    </row>
    <row r="148" ht="15">
      <c r="AC148" s="622"/>
    </row>
    <row r="149" ht="15">
      <c r="AC149" s="622"/>
    </row>
    <row r="150" ht="15">
      <c r="AC150" s="622"/>
    </row>
    <row r="151" ht="15">
      <c r="AC151" s="622"/>
    </row>
    <row r="152" ht="15">
      <c r="AC152" s="622"/>
    </row>
    <row r="153" ht="15">
      <c r="AC153" s="622"/>
    </row>
    <row r="154" ht="15">
      <c r="AC154" s="622"/>
    </row>
    <row r="155" ht="15">
      <c r="AC155" s="622"/>
    </row>
    <row r="156" ht="15">
      <c r="AC156" s="622"/>
    </row>
    <row r="157" ht="15">
      <c r="AC157" s="622"/>
    </row>
    <row r="158" ht="15">
      <c r="AC158" s="622"/>
    </row>
    <row r="159" ht="15">
      <c r="AC159" s="622"/>
    </row>
    <row r="160" ht="15">
      <c r="AC160" s="622"/>
    </row>
    <row r="161" ht="15">
      <c r="AC161" s="622"/>
    </row>
    <row r="162" ht="15">
      <c r="AC162" s="622"/>
    </row>
    <row r="163" ht="15">
      <c r="AC163" s="622"/>
    </row>
    <row r="164" ht="15">
      <c r="AC164" s="622"/>
    </row>
    <row r="165" ht="15">
      <c r="AC165" s="622"/>
    </row>
    <row r="166" ht="15">
      <c r="AC166" s="622"/>
    </row>
    <row r="167" ht="15">
      <c r="AC167" s="622"/>
    </row>
    <row r="168" ht="15">
      <c r="AC168" s="622"/>
    </row>
    <row r="169" ht="15">
      <c r="AC169" s="622"/>
    </row>
    <row r="170" ht="15">
      <c r="AC170" s="622"/>
    </row>
    <row r="171" ht="15">
      <c r="AC171" s="622"/>
    </row>
    <row r="172" ht="15">
      <c r="AC172" s="622"/>
    </row>
    <row r="173" ht="15">
      <c r="AC173" s="622"/>
    </row>
    <row r="174" ht="15">
      <c r="AC174" s="622"/>
    </row>
    <row r="175" ht="15">
      <c r="AC175" s="622"/>
    </row>
    <row r="176" ht="15">
      <c r="AC176" s="622"/>
    </row>
    <row r="177" ht="15">
      <c r="AC177" s="622"/>
    </row>
    <row r="178" ht="15">
      <c r="AC178" s="622"/>
    </row>
    <row r="179" ht="15">
      <c r="AC179" s="622"/>
    </row>
    <row r="180" ht="15">
      <c r="AC180" s="622"/>
    </row>
    <row r="181" ht="15">
      <c r="AC181" s="622"/>
    </row>
    <row r="182" ht="15">
      <c r="AC182" s="622"/>
    </row>
    <row r="183" ht="15">
      <c r="AC183" s="622"/>
    </row>
    <row r="184" ht="15">
      <c r="AC184" s="622"/>
    </row>
    <row r="185" ht="15">
      <c r="AC185" s="622"/>
    </row>
    <row r="186" ht="15">
      <c r="AC186" s="622"/>
    </row>
    <row r="187" ht="15">
      <c r="AC187" s="622"/>
    </row>
    <row r="188" ht="15">
      <c r="AC188" s="622"/>
    </row>
    <row r="189" ht="15">
      <c r="AC189" s="622"/>
    </row>
    <row r="190" ht="15">
      <c r="AC190" s="622"/>
    </row>
    <row r="191" ht="15">
      <c r="AC191" s="622"/>
    </row>
    <row r="192" ht="15">
      <c r="AC192" s="622"/>
    </row>
    <row r="193" ht="15">
      <c r="AC193" s="622"/>
    </row>
    <row r="194" ht="15">
      <c r="AC194" s="622"/>
    </row>
    <row r="195" ht="15">
      <c r="AC195" s="622"/>
    </row>
    <row r="196" ht="15">
      <c r="AC196" s="622"/>
    </row>
    <row r="197" ht="15">
      <c r="AC197" s="622"/>
    </row>
    <row r="198" ht="15">
      <c r="AC198" s="622"/>
    </row>
    <row r="199" ht="15">
      <c r="AC199" s="622"/>
    </row>
    <row r="200" ht="15">
      <c r="AC200" s="622"/>
    </row>
    <row r="201" ht="15">
      <c r="AC201" s="622"/>
    </row>
    <row r="202" ht="15">
      <c r="AC202" s="622"/>
    </row>
    <row r="203" ht="15">
      <c r="AC203" s="622"/>
    </row>
    <row r="204" ht="15">
      <c r="AC204" s="622"/>
    </row>
    <row r="205" ht="15">
      <c r="AC205" s="622"/>
    </row>
    <row r="206" ht="15">
      <c r="AC206" s="622"/>
    </row>
    <row r="207" ht="15">
      <c r="AC207" s="622"/>
    </row>
    <row r="208" ht="15">
      <c r="AC208" s="622"/>
    </row>
    <row r="209" ht="15">
      <c r="AC209" s="622"/>
    </row>
    <row r="210" ht="15">
      <c r="AC210" s="622"/>
    </row>
    <row r="211" ht="15">
      <c r="AC211" s="622"/>
    </row>
    <row r="212" ht="15">
      <c r="AC212" s="622"/>
    </row>
    <row r="213" ht="15">
      <c r="AC213" s="622"/>
    </row>
    <row r="214" ht="15">
      <c r="AC214" s="622"/>
    </row>
    <row r="215" ht="15">
      <c r="AC215" s="622"/>
    </row>
    <row r="216" ht="15">
      <c r="AC216" s="622"/>
    </row>
    <row r="217" ht="15">
      <c r="AC217" s="622"/>
    </row>
    <row r="218" ht="15">
      <c r="AC218" s="622"/>
    </row>
    <row r="219" ht="15">
      <c r="AC219" s="622"/>
    </row>
    <row r="220" ht="15">
      <c r="AC220" s="622"/>
    </row>
    <row r="221" ht="15">
      <c r="AC221" s="622"/>
    </row>
    <row r="222" ht="15">
      <c r="AC222" s="622"/>
    </row>
    <row r="223" ht="15">
      <c r="AC223" s="622"/>
    </row>
    <row r="224" ht="15">
      <c r="AC224" s="622"/>
    </row>
    <row r="225" ht="15">
      <c r="AC225" s="622"/>
    </row>
    <row r="226" ht="15">
      <c r="AC226" s="622"/>
    </row>
    <row r="227" ht="15">
      <c r="AC227" s="622"/>
    </row>
    <row r="228" ht="15">
      <c r="AC228" s="622"/>
    </row>
    <row r="229" ht="15">
      <c r="AC229" s="622"/>
    </row>
    <row r="230" ht="15">
      <c r="AC230" s="622"/>
    </row>
    <row r="231" ht="15">
      <c r="AC231" s="622"/>
    </row>
    <row r="232" ht="15">
      <c r="AC232" s="622"/>
    </row>
    <row r="233" ht="15">
      <c r="AC233" s="622"/>
    </row>
    <row r="234" ht="15">
      <c r="AC234" s="622"/>
    </row>
    <row r="235" ht="15">
      <c r="AC235" s="622"/>
    </row>
    <row r="236" ht="15">
      <c r="AC236" s="622"/>
    </row>
    <row r="237" ht="15">
      <c r="AC237" s="622"/>
    </row>
    <row r="238" ht="15">
      <c r="AC238" s="622"/>
    </row>
    <row r="239" ht="15">
      <c r="AC239" s="622"/>
    </row>
    <row r="240" ht="15">
      <c r="AC240" s="622"/>
    </row>
    <row r="241" ht="15">
      <c r="AC241" s="622"/>
    </row>
    <row r="242" ht="15">
      <c r="AC242" s="622"/>
    </row>
    <row r="243" ht="15">
      <c r="AC243" s="622"/>
    </row>
    <row r="244" ht="15">
      <c r="AC244" s="622"/>
    </row>
    <row r="245" ht="15">
      <c r="AC245" s="622"/>
    </row>
    <row r="246" ht="15">
      <c r="AC246" s="622"/>
    </row>
    <row r="247" ht="15">
      <c r="AC247" s="622"/>
    </row>
    <row r="248" ht="15">
      <c r="AC248" s="622"/>
    </row>
    <row r="249" ht="15">
      <c r="AC249" s="622"/>
    </row>
    <row r="250" ht="15">
      <c r="AC250" s="622"/>
    </row>
    <row r="251" ht="15">
      <c r="AC251" s="622"/>
    </row>
    <row r="252" ht="15">
      <c r="AC252" s="622"/>
    </row>
    <row r="253" ht="15">
      <c r="AC253" s="622"/>
    </row>
    <row r="254" ht="15">
      <c r="AC254" s="622"/>
    </row>
    <row r="255" ht="15">
      <c r="AC255" s="622"/>
    </row>
    <row r="256" ht="15">
      <c r="AC256" s="622"/>
    </row>
    <row r="257" ht="15">
      <c r="AC257" s="622"/>
    </row>
    <row r="258" ht="15">
      <c r="AC258" s="622"/>
    </row>
    <row r="259" ht="15">
      <c r="AC259" s="622"/>
    </row>
    <row r="260" ht="15">
      <c r="AC260" s="622"/>
    </row>
    <row r="261" ht="15">
      <c r="AC261" s="622"/>
    </row>
    <row r="262" ht="15">
      <c r="AC262" s="622"/>
    </row>
    <row r="263" ht="15">
      <c r="AC263" s="622"/>
    </row>
    <row r="264" ht="15">
      <c r="AC264" s="622"/>
    </row>
    <row r="265" ht="15">
      <c r="AC265" s="622"/>
    </row>
    <row r="266" ht="15">
      <c r="AC266" s="622"/>
    </row>
    <row r="267" ht="15">
      <c r="AC267" s="622"/>
    </row>
    <row r="268" ht="15">
      <c r="AC268" s="622"/>
    </row>
    <row r="269" ht="15">
      <c r="AC269" s="622"/>
    </row>
    <row r="270" ht="15">
      <c r="AC270" s="622"/>
    </row>
    <row r="271" ht="15">
      <c r="AC271" s="622"/>
    </row>
    <row r="272" ht="15">
      <c r="AC272" s="622"/>
    </row>
    <row r="273" ht="15">
      <c r="AC273" s="622"/>
    </row>
    <row r="274" ht="15">
      <c r="AC274" s="622"/>
    </row>
    <row r="275" ht="15">
      <c r="AC275" s="622"/>
    </row>
    <row r="276" ht="15">
      <c r="AC276" s="622"/>
    </row>
    <row r="277" ht="15">
      <c r="AC277" s="622"/>
    </row>
    <row r="278" ht="15">
      <c r="AC278" s="622"/>
    </row>
    <row r="279" ht="15">
      <c r="AC279" s="622"/>
    </row>
    <row r="280" ht="15">
      <c r="AC280" s="622"/>
    </row>
    <row r="281" ht="15">
      <c r="AC281" s="622"/>
    </row>
    <row r="282" ht="15">
      <c r="AC282" s="622"/>
    </row>
    <row r="283" ht="15">
      <c r="AC283" s="622"/>
    </row>
    <row r="284" ht="15">
      <c r="AC284" s="622"/>
    </row>
    <row r="285" ht="15">
      <c r="AC285" s="622"/>
    </row>
    <row r="286" ht="15">
      <c r="AC286" s="622"/>
    </row>
    <row r="287" ht="15">
      <c r="AC287" s="622"/>
    </row>
    <row r="288" ht="15">
      <c r="AC288" s="622"/>
    </row>
    <row r="289" ht="15">
      <c r="AC289" s="622"/>
    </row>
    <row r="290" ht="15">
      <c r="AC290" s="622"/>
    </row>
    <row r="291" ht="15">
      <c r="AC291" s="622"/>
    </row>
    <row r="292" ht="15">
      <c r="AC292" s="622"/>
    </row>
    <row r="293" ht="15">
      <c r="AC293" s="622"/>
    </row>
    <row r="294" ht="15">
      <c r="AC294" s="622"/>
    </row>
    <row r="295" ht="15">
      <c r="AC295" s="622"/>
    </row>
    <row r="296" ht="15">
      <c r="AC296" s="622"/>
    </row>
    <row r="297" ht="15">
      <c r="AC297" s="622"/>
    </row>
    <row r="298" ht="15">
      <c r="AC298" s="622"/>
    </row>
    <row r="299" ht="15">
      <c r="AC299" s="622"/>
    </row>
    <row r="300" ht="15">
      <c r="AC300" s="622"/>
    </row>
    <row r="301" ht="15">
      <c r="AC301" s="622"/>
    </row>
    <row r="302" ht="15">
      <c r="AC302" s="622"/>
    </row>
    <row r="303" ht="15">
      <c r="AC303" s="622"/>
    </row>
    <row r="304" ht="15">
      <c r="AC304" s="622"/>
    </row>
    <row r="305" ht="15">
      <c r="AC305" s="622"/>
    </row>
    <row r="306" ht="15">
      <c r="AC306" s="622"/>
    </row>
    <row r="307" ht="15">
      <c r="AC307" s="622"/>
    </row>
    <row r="308" ht="15">
      <c r="AC308" s="622"/>
    </row>
    <row r="309" ht="15">
      <c r="AC309" s="622"/>
    </row>
    <row r="310" ht="15">
      <c r="AC310" s="622"/>
    </row>
    <row r="311" ht="15">
      <c r="AC311" s="622"/>
    </row>
    <row r="312" ht="15">
      <c r="AC312" s="622"/>
    </row>
    <row r="313" ht="15">
      <c r="AC313" s="622"/>
    </row>
    <row r="314" ht="15">
      <c r="AC314" s="622"/>
    </row>
    <row r="315" ht="15">
      <c r="AC315" s="622"/>
    </row>
    <row r="316" ht="15">
      <c r="AC316" s="622"/>
    </row>
    <row r="317" ht="15">
      <c r="AC317" s="622"/>
    </row>
    <row r="318" ht="15">
      <c r="AC318" s="622"/>
    </row>
    <row r="319" ht="15">
      <c r="AC319" s="622"/>
    </row>
    <row r="320" ht="15">
      <c r="AC320" s="622"/>
    </row>
    <row r="321" ht="15">
      <c r="AC321" s="622"/>
    </row>
    <row r="322" ht="15">
      <c r="AC322" s="622"/>
    </row>
    <row r="323" ht="15">
      <c r="AC323" s="622"/>
    </row>
    <row r="324" ht="15">
      <c r="AC324" s="622"/>
    </row>
    <row r="325" ht="15">
      <c r="AC325" s="622"/>
    </row>
    <row r="326" ht="15">
      <c r="AC326" s="622"/>
    </row>
    <row r="327" ht="15">
      <c r="AC327" s="622"/>
    </row>
    <row r="328" ht="15">
      <c r="AC328" s="622"/>
    </row>
    <row r="329" ht="15">
      <c r="AC329" s="622"/>
    </row>
    <row r="330" ht="15">
      <c r="AC330" s="622"/>
    </row>
    <row r="331" ht="15">
      <c r="AC331" s="622"/>
    </row>
    <row r="332" ht="15">
      <c r="AC332" s="622"/>
    </row>
    <row r="333" ht="15">
      <c r="AC333" s="622"/>
    </row>
    <row r="334" ht="15">
      <c r="AC334" s="622"/>
    </row>
    <row r="335" ht="15">
      <c r="AC335" s="622"/>
    </row>
    <row r="336" ht="15">
      <c r="AC336" s="622"/>
    </row>
    <row r="337" ht="15">
      <c r="AC337" s="622"/>
    </row>
    <row r="338" ht="15">
      <c r="AC338" s="622"/>
    </row>
    <row r="339" ht="15">
      <c r="AC339" s="622"/>
    </row>
    <row r="340" ht="15">
      <c r="AC340" s="622"/>
    </row>
    <row r="341" ht="15">
      <c r="AC341" s="622"/>
    </row>
    <row r="342" ht="15">
      <c r="AC342" s="622"/>
    </row>
    <row r="343" ht="15">
      <c r="AC343" s="622"/>
    </row>
    <row r="344" ht="15">
      <c r="AC344" s="622"/>
    </row>
    <row r="345" ht="15">
      <c r="AC345" s="622"/>
    </row>
    <row r="346" ht="15">
      <c r="AC346" s="622"/>
    </row>
    <row r="347" ht="15">
      <c r="AC347" s="622"/>
    </row>
    <row r="348" ht="15">
      <c r="AC348" s="622"/>
    </row>
    <row r="349" ht="15">
      <c r="AC349" s="622"/>
    </row>
    <row r="350" ht="15">
      <c r="AC350" s="622"/>
    </row>
    <row r="351" ht="15">
      <c r="AC351" s="622"/>
    </row>
    <row r="352" ht="15">
      <c r="AC352" s="622"/>
    </row>
    <row r="353" ht="15">
      <c r="AC353" s="622"/>
    </row>
    <row r="354" ht="15">
      <c r="AC354" s="622"/>
    </row>
    <row r="355" ht="15">
      <c r="AC355" s="622"/>
    </row>
    <row r="356" ht="15">
      <c r="AC356" s="622"/>
    </row>
    <row r="357" ht="15">
      <c r="AC357" s="622"/>
    </row>
    <row r="358" ht="15">
      <c r="AC358" s="622"/>
    </row>
    <row r="359" ht="15">
      <c r="AC359" s="622"/>
    </row>
    <row r="360" ht="15">
      <c r="AC360" s="622"/>
    </row>
    <row r="361" ht="15">
      <c r="AC361" s="622"/>
    </row>
    <row r="362" ht="15">
      <c r="AC362" s="622"/>
    </row>
    <row r="363" ht="15">
      <c r="AC363" s="622"/>
    </row>
    <row r="364" ht="15">
      <c r="AC364" s="622"/>
    </row>
    <row r="365" ht="15">
      <c r="AC365" s="622"/>
    </row>
    <row r="366" ht="15">
      <c r="AC366" s="622"/>
    </row>
    <row r="367" ht="15">
      <c r="AC367" s="622"/>
    </row>
    <row r="368" ht="15">
      <c r="AC368" s="622"/>
    </row>
    <row r="369" ht="15">
      <c r="AC369" s="622"/>
    </row>
    <row r="370" ht="15">
      <c r="AC370" s="622"/>
    </row>
    <row r="371" ht="15">
      <c r="AC371" s="622"/>
    </row>
    <row r="372" ht="15">
      <c r="AC372" s="622"/>
    </row>
    <row r="373" ht="15">
      <c r="AC373" s="622"/>
    </row>
    <row r="374" ht="15">
      <c r="AC374" s="622"/>
    </row>
    <row r="375" ht="15">
      <c r="AC375" s="622"/>
    </row>
    <row r="376" ht="15">
      <c r="AC376" s="622"/>
    </row>
    <row r="377" ht="15">
      <c r="AC377" s="622"/>
    </row>
    <row r="378" ht="15">
      <c r="AC378" s="622"/>
    </row>
    <row r="379" ht="15">
      <c r="AC379" s="622"/>
    </row>
    <row r="380" ht="15">
      <c r="AC380" s="622"/>
    </row>
    <row r="381" ht="15">
      <c r="AC381" s="622"/>
    </row>
    <row r="382" ht="15">
      <c r="AC382" s="622"/>
    </row>
    <row r="383" ht="15">
      <c r="AC383" s="622"/>
    </row>
    <row r="384" ht="15">
      <c r="AC384" s="622"/>
    </row>
    <row r="385" ht="15">
      <c r="AC385" s="622"/>
    </row>
    <row r="386" ht="15">
      <c r="AC386" s="622"/>
    </row>
    <row r="387" ht="15">
      <c r="AC387" s="622"/>
    </row>
    <row r="388" ht="15">
      <c r="AC388" s="622"/>
    </row>
    <row r="389" ht="15">
      <c r="AC389" s="622"/>
    </row>
    <row r="390" ht="15">
      <c r="AC390" s="622"/>
    </row>
    <row r="391" ht="15">
      <c r="AC391" s="622"/>
    </row>
    <row r="392" ht="15">
      <c r="AC392" s="622"/>
    </row>
    <row r="393" ht="15">
      <c r="AC393" s="622"/>
    </row>
    <row r="394" ht="15">
      <c r="AC394" s="622"/>
    </row>
    <row r="395" ht="15">
      <c r="AC395" s="622"/>
    </row>
    <row r="396" ht="15">
      <c r="AC396" s="622"/>
    </row>
    <row r="397" ht="15">
      <c r="AC397" s="622"/>
    </row>
    <row r="398" ht="15">
      <c r="AC398" s="622"/>
    </row>
    <row r="399" ht="15">
      <c r="AC399" s="622"/>
    </row>
    <row r="400" ht="15">
      <c r="AC400" s="622"/>
    </row>
    <row r="401" ht="15">
      <c r="AC401" s="622"/>
    </row>
    <row r="402" ht="15">
      <c r="AC402" s="622"/>
    </row>
    <row r="403" ht="15">
      <c r="AC403" s="622"/>
    </row>
    <row r="404" ht="15">
      <c r="AC404" s="622"/>
    </row>
    <row r="405" ht="15">
      <c r="AC405" s="622"/>
    </row>
    <row r="406" ht="15">
      <c r="AC406" s="622"/>
    </row>
    <row r="407" ht="15">
      <c r="AC407" s="622"/>
    </row>
    <row r="408" ht="15">
      <c r="AC408" s="622"/>
    </row>
    <row r="409" ht="15">
      <c r="AC409" s="622"/>
    </row>
    <row r="410" ht="15">
      <c r="AC410" s="622"/>
    </row>
    <row r="411" ht="15">
      <c r="AC411" s="622"/>
    </row>
    <row r="412" ht="15">
      <c r="AC412" s="622"/>
    </row>
    <row r="413" ht="15">
      <c r="AC413" s="622"/>
    </row>
    <row r="414" ht="15">
      <c r="AC414" s="622"/>
    </row>
    <row r="415" ht="15">
      <c r="AC415" s="622"/>
    </row>
    <row r="416" ht="15">
      <c r="AC416" s="622"/>
    </row>
    <row r="417" ht="15">
      <c r="AC417" s="622"/>
    </row>
    <row r="418" ht="15">
      <c r="AC418" s="622"/>
    </row>
    <row r="419" ht="15">
      <c r="AC419" s="622"/>
    </row>
    <row r="420" ht="15">
      <c r="AC420" s="622"/>
    </row>
    <row r="421" ht="15">
      <c r="AC421" s="622"/>
    </row>
    <row r="422" ht="15">
      <c r="AC422" s="622"/>
    </row>
    <row r="423" ht="15">
      <c r="AC423" s="622"/>
    </row>
    <row r="424" ht="15">
      <c r="AC424" s="622"/>
    </row>
    <row r="425" ht="15">
      <c r="AC425" s="622"/>
    </row>
    <row r="426" ht="15">
      <c r="AC426" s="622"/>
    </row>
    <row r="427" ht="15">
      <c r="AC427" s="622"/>
    </row>
    <row r="428" ht="15">
      <c r="AC428" s="622"/>
    </row>
    <row r="429" ht="15">
      <c r="AC429" s="622"/>
    </row>
    <row r="430" ht="15">
      <c r="AC430" s="622"/>
    </row>
    <row r="431" ht="15">
      <c r="AC431" s="622"/>
    </row>
    <row r="432" ht="15">
      <c r="AC432" s="622"/>
    </row>
    <row r="433" ht="15">
      <c r="AC433" s="622"/>
    </row>
    <row r="434" ht="15">
      <c r="AC434" s="622"/>
    </row>
    <row r="435" ht="15">
      <c r="AC435" s="622"/>
    </row>
    <row r="436" ht="15">
      <c r="AC436" s="622"/>
    </row>
    <row r="437" ht="15">
      <c r="AC437" s="622"/>
    </row>
    <row r="438" ht="15">
      <c r="AC438" s="622"/>
    </row>
    <row r="439" ht="15">
      <c r="AC439" s="622"/>
    </row>
    <row r="440" ht="15">
      <c r="AC440" s="622"/>
    </row>
    <row r="441" ht="15">
      <c r="AC441" s="622"/>
    </row>
    <row r="442" ht="15">
      <c r="AC442" s="622"/>
    </row>
    <row r="443" ht="15">
      <c r="AC443" s="622"/>
    </row>
    <row r="444" ht="15">
      <c r="AC444" s="622"/>
    </row>
    <row r="445" ht="15">
      <c r="AC445" s="622"/>
    </row>
    <row r="446" ht="15">
      <c r="AC446" s="622"/>
    </row>
    <row r="447" ht="15">
      <c r="AC447" s="622"/>
    </row>
    <row r="448" ht="15">
      <c r="AC448" s="622"/>
    </row>
    <row r="449" ht="15">
      <c r="AC449" s="622"/>
    </row>
    <row r="450" ht="15">
      <c r="AC450" s="622"/>
    </row>
    <row r="451" ht="15">
      <c r="AC451" s="622"/>
    </row>
    <row r="452" ht="15">
      <c r="AC452" s="622"/>
    </row>
    <row r="453" ht="15">
      <c r="AC453" s="622"/>
    </row>
    <row r="454" ht="15">
      <c r="AC454" s="622"/>
    </row>
    <row r="455" ht="15">
      <c r="AC455" s="622"/>
    </row>
    <row r="456" ht="15">
      <c r="AC456" s="622"/>
    </row>
    <row r="457" ht="15">
      <c r="AC457" s="622"/>
    </row>
    <row r="458" ht="15">
      <c r="AC458" s="622"/>
    </row>
    <row r="459" ht="15">
      <c r="AC459" s="622"/>
    </row>
    <row r="460" ht="15">
      <c r="AC460" s="622"/>
    </row>
    <row r="461" ht="15">
      <c r="AC461" s="622"/>
    </row>
    <row r="462" ht="15">
      <c r="AC462" s="622"/>
    </row>
    <row r="463" ht="15">
      <c r="AC463" s="622"/>
    </row>
    <row r="464" ht="15">
      <c r="AC464" s="622"/>
    </row>
    <row r="465" ht="15">
      <c r="AC465" s="622"/>
    </row>
    <row r="466" ht="15">
      <c r="AC466" s="622"/>
    </row>
    <row r="467" ht="15">
      <c r="AC467" s="622"/>
    </row>
    <row r="468" ht="15">
      <c r="AC468" s="622"/>
    </row>
    <row r="469" ht="15">
      <c r="AC469" s="622"/>
    </row>
    <row r="470" ht="15">
      <c r="AC470" s="622"/>
    </row>
    <row r="471" ht="15">
      <c r="AC471" s="622"/>
    </row>
    <row r="472" ht="15">
      <c r="AC472" s="622"/>
    </row>
    <row r="473" ht="15">
      <c r="AC473" s="622"/>
    </row>
    <row r="474" ht="15">
      <c r="AC474" s="622"/>
    </row>
    <row r="475" ht="15">
      <c r="AC475" s="622"/>
    </row>
    <row r="476" ht="15">
      <c r="AC476" s="622"/>
    </row>
    <row r="477" ht="15">
      <c r="AC477" s="622"/>
    </row>
    <row r="478" ht="15">
      <c r="AC478" s="622"/>
    </row>
    <row r="479" ht="15">
      <c r="AC479" s="622"/>
    </row>
    <row r="480" ht="15">
      <c r="AC480" s="622"/>
    </row>
    <row r="481" ht="15">
      <c r="AC481" s="622"/>
    </row>
    <row r="482" ht="15">
      <c r="AC482" s="622"/>
    </row>
    <row r="483" ht="15">
      <c r="AC483" s="622"/>
    </row>
    <row r="484" ht="15">
      <c r="AC484" s="622"/>
    </row>
    <row r="485" ht="15">
      <c r="AC485" s="622"/>
    </row>
    <row r="486" ht="15">
      <c r="AC486" s="622"/>
    </row>
    <row r="487" ht="15">
      <c r="AC487" s="622"/>
    </row>
    <row r="488" ht="15">
      <c r="AC488" s="622"/>
    </row>
    <row r="489" ht="15">
      <c r="AC489" s="622"/>
    </row>
    <row r="490" ht="15">
      <c r="AC490" s="622"/>
    </row>
    <row r="491" ht="15">
      <c r="AC491" s="622"/>
    </row>
    <row r="492" ht="15">
      <c r="AC492" s="622"/>
    </row>
    <row r="493" ht="15">
      <c r="AC493" s="622"/>
    </row>
    <row r="494" ht="15">
      <c r="AC494" s="622"/>
    </row>
    <row r="495" ht="15">
      <c r="AC495" s="622"/>
    </row>
    <row r="496" ht="15">
      <c r="AC496" s="622"/>
    </row>
    <row r="497" ht="15">
      <c r="AC497" s="622"/>
    </row>
    <row r="498" ht="15">
      <c r="AC498" s="622"/>
    </row>
    <row r="499" ht="15">
      <c r="AC499" s="622"/>
    </row>
    <row r="500" ht="15">
      <c r="AC500" s="622"/>
    </row>
    <row r="501" ht="15">
      <c r="AC501" s="622"/>
    </row>
    <row r="502" ht="15">
      <c r="AC502" s="622"/>
    </row>
    <row r="503" ht="15">
      <c r="AC503" s="622"/>
    </row>
    <row r="504" ht="15">
      <c r="AC504" s="622"/>
    </row>
    <row r="505" ht="15">
      <c r="AC505" s="622"/>
    </row>
    <row r="506" ht="15">
      <c r="AC506" s="622"/>
    </row>
    <row r="507" ht="15">
      <c r="AC507" s="622"/>
    </row>
    <row r="508" ht="15">
      <c r="AC508" s="622"/>
    </row>
    <row r="509" ht="15">
      <c r="AC509" s="622"/>
    </row>
    <row r="510" ht="15">
      <c r="AC510" s="622"/>
    </row>
    <row r="511" ht="15">
      <c r="AC511" s="622"/>
    </row>
    <row r="512" ht="15">
      <c r="AC512" s="622"/>
    </row>
    <row r="513" ht="15">
      <c r="AC513" s="622"/>
    </row>
    <row r="514" ht="15">
      <c r="AC514" s="622"/>
    </row>
    <row r="515" ht="15">
      <c r="AC515" s="622"/>
    </row>
    <row r="516" ht="15">
      <c r="AC516" s="622"/>
    </row>
    <row r="517" ht="15">
      <c r="AC517" s="622"/>
    </row>
    <row r="518" ht="15">
      <c r="AC518" s="622"/>
    </row>
    <row r="519" ht="15">
      <c r="AC519" s="622"/>
    </row>
    <row r="520" ht="15">
      <c r="AC520" s="622"/>
    </row>
    <row r="521" ht="15">
      <c r="AC521" s="622"/>
    </row>
    <row r="522" ht="15">
      <c r="AC522" s="622"/>
    </row>
    <row r="523" ht="15">
      <c r="AC523" s="622"/>
    </row>
    <row r="524" ht="15">
      <c r="AC524" s="622"/>
    </row>
    <row r="525" ht="15">
      <c r="AC525" s="622"/>
    </row>
    <row r="526" ht="15">
      <c r="AC526" s="622"/>
    </row>
    <row r="527" ht="15">
      <c r="AC527" s="622"/>
    </row>
    <row r="528" ht="15">
      <c r="AC528" s="622"/>
    </row>
    <row r="529" ht="15">
      <c r="AC529" s="622"/>
    </row>
    <row r="530" ht="15">
      <c r="AC530" s="622"/>
    </row>
    <row r="531" ht="15">
      <c r="AC531" s="622"/>
    </row>
    <row r="532" ht="15">
      <c r="AC532" s="622"/>
    </row>
    <row r="533" ht="15">
      <c r="AC533" s="622"/>
    </row>
    <row r="534" ht="15">
      <c r="AC534" s="622"/>
    </row>
    <row r="535" ht="15">
      <c r="AC535" s="622"/>
    </row>
    <row r="536" ht="15">
      <c r="AC536" s="622"/>
    </row>
    <row r="537" ht="15">
      <c r="AC537" s="622"/>
    </row>
    <row r="538" ht="15">
      <c r="AC538" s="622"/>
    </row>
    <row r="539" ht="15">
      <c r="AC539" s="622"/>
    </row>
    <row r="540" ht="15">
      <c r="AC540" s="622"/>
    </row>
    <row r="541" ht="15">
      <c r="AC541" s="622"/>
    </row>
    <row r="542" ht="15">
      <c r="AC542" s="622"/>
    </row>
    <row r="543" ht="15">
      <c r="AC543" s="622"/>
    </row>
    <row r="544" ht="15">
      <c r="AC544" s="622"/>
    </row>
    <row r="545" ht="15">
      <c r="AC545" s="622"/>
    </row>
    <row r="546" ht="15">
      <c r="AC546" s="622"/>
    </row>
    <row r="547" ht="15">
      <c r="AC547" s="622"/>
    </row>
    <row r="548" ht="15">
      <c r="AC548" s="622"/>
    </row>
    <row r="549" ht="15">
      <c r="AC549" s="622"/>
    </row>
    <row r="550" ht="15">
      <c r="AC550" s="622"/>
    </row>
    <row r="551" ht="15">
      <c r="AC551" s="622"/>
    </row>
    <row r="552" ht="15">
      <c r="AC552" s="622"/>
    </row>
    <row r="553" ht="15">
      <c r="AC553" s="622"/>
    </row>
    <row r="554" ht="15">
      <c r="AC554" s="622"/>
    </row>
    <row r="555" ht="15">
      <c r="AC555" s="622"/>
    </row>
    <row r="556" ht="15">
      <c r="AC556" s="622"/>
    </row>
    <row r="557" ht="15">
      <c r="AC557" s="622"/>
    </row>
    <row r="558" ht="15">
      <c r="AC558" s="622"/>
    </row>
    <row r="559" ht="15">
      <c r="AC559" s="622"/>
    </row>
    <row r="560" ht="15">
      <c r="AC560" s="622"/>
    </row>
    <row r="561" ht="15">
      <c r="AC561" s="622"/>
    </row>
    <row r="562" ht="15">
      <c r="AC562" s="622"/>
    </row>
    <row r="563" ht="15">
      <c r="AC563" s="622"/>
    </row>
    <row r="564" ht="15">
      <c r="AC564" s="622"/>
    </row>
    <row r="565" ht="15">
      <c r="AC565" s="622"/>
    </row>
    <row r="566" ht="15">
      <c r="AC566" s="622"/>
    </row>
    <row r="567" ht="15">
      <c r="AC567" s="622"/>
    </row>
    <row r="568" ht="15">
      <c r="AC568" s="622"/>
    </row>
    <row r="569" ht="15">
      <c r="AC569" s="622"/>
    </row>
    <row r="570" ht="15">
      <c r="AC570" s="622"/>
    </row>
    <row r="571" ht="15">
      <c r="AC571" s="622"/>
    </row>
    <row r="572" ht="15">
      <c r="AC572" s="622"/>
    </row>
    <row r="573" ht="15">
      <c r="AC573" s="622"/>
    </row>
    <row r="574" ht="15">
      <c r="AC574" s="622"/>
    </row>
    <row r="575" ht="15">
      <c r="AC575" s="622"/>
    </row>
    <row r="576" ht="15">
      <c r="AC576" s="622"/>
    </row>
    <row r="577" ht="15">
      <c r="AC577" s="622"/>
    </row>
    <row r="578" ht="15">
      <c r="AC578" s="622"/>
    </row>
    <row r="579" ht="15">
      <c r="AC579" s="622"/>
    </row>
    <row r="580" ht="15">
      <c r="AC580" s="622"/>
    </row>
    <row r="581" ht="15">
      <c r="AC581" s="622"/>
    </row>
    <row r="582" ht="15">
      <c r="AC582" s="622"/>
    </row>
    <row r="583" ht="15">
      <c r="AC583" s="622"/>
    </row>
    <row r="584" ht="15">
      <c r="AC584" s="622"/>
    </row>
    <row r="585" ht="15">
      <c r="AC585" s="622"/>
    </row>
    <row r="586" ht="15">
      <c r="AC586" s="622"/>
    </row>
    <row r="587" ht="15">
      <c r="AC587" s="622"/>
    </row>
    <row r="588" ht="15">
      <c r="AC588" s="622"/>
    </row>
    <row r="589" ht="15">
      <c r="AC589" s="622"/>
    </row>
    <row r="590" ht="15">
      <c r="AC590" s="622"/>
    </row>
    <row r="591" ht="15">
      <c r="AC591" s="622"/>
    </row>
    <row r="592" ht="15">
      <c r="AC592" s="622"/>
    </row>
    <row r="593" ht="15">
      <c r="AC593" s="622"/>
    </row>
    <row r="594" ht="15">
      <c r="AC594" s="622"/>
    </row>
    <row r="595" ht="15">
      <c r="AC595" s="622"/>
    </row>
    <row r="596" ht="15">
      <c r="AC596" s="622"/>
    </row>
    <row r="597" ht="15">
      <c r="AC597" s="622"/>
    </row>
    <row r="598" ht="15">
      <c r="AC598" s="622"/>
    </row>
    <row r="599" ht="15">
      <c r="AC599" s="622"/>
    </row>
    <row r="600" ht="15">
      <c r="AC600" s="622"/>
    </row>
    <row r="601" ht="15">
      <c r="AC601" s="622"/>
    </row>
    <row r="602" ht="15">
      <c r="AC602" s="622"/>
    </row>
    <row r="603" ht="15">
      <c r="AC603" s="622"/>
    </row>
    <row r="604" ht="15">
      <c r="AC604" s="622"/>
    </row>
    <row r="605" ht="15">
      <c r="AC605" s="622"/>
    </row>
    <row r="606" ht="15">
      <c r="AC606" s="622"/>
    </row>
    <row r="607" ht="15">
      <c r="AC607" s="622"/>
    </row>
    <row r="608" ht="15">
      <c r="AC608" s="622"/>
    </row>
    <row r="609" ht="15">
      <c r="AC609" s="622"/>
    </row>
    <row r="610" ht="15">
      <c r="AC610" s="622"/>
    </row>
    <row r="611" ht="15">
      <c r="AC611" s="622"/>
    </row>
    <row r="612" ht="15">
      <c r="AC612" s="622"/>
    </row>
    <row r="613" ht="15">
      <c r="AC613" s="622"/>
    </row>
    <row r="614" ht="15">
      <c r="AC614" s="622"/>
    </row>
    <row r="615" ht="15">
      <c r="AC615" s="622"/>
    </row>
    <row r="616" ht="15">
      <c r="AC616" s="622"/>
    </row>
    <row r="617" ht="15">
      <c r="AC617" s="622"/>
    </row>
    <row r="618" ht="15">
      <c r="AC618" s="622"/>
    </row>
    <row r="619" ht="15">
      <c r="AC619" s="622"/>
    </row>
    <row r="620" ht="15">
      <c r="AC620" s="622"/>
    </row>
    <row r="621" ht="15">
      <c r="AC621" s="622"/>
    </row>
    <row r="622" ht="15">
      <c r="AC622" s="622"/>
    </row>
    <row r="623" ht="15">
      <c r="AC623" s="622"/>
    </row>
    <row r="624" ht="15">
      <c r="AC624" s="622"/>
    </row>
    <row r="625" ht="15">
      <c r="AC625" s="622"/>
    </row>
    <row r="626" ht="15">
      <c r="AC626" s="622"/>
    </row>
  </sheetData>
  <sheetProtection/>
  <mergeCells count="17">
    <mergeCell ref="AG8:AG10"/>
    <mergeCell ref="F8:F10"/>
    <mergeCell ref="G8:G10"/>
    <mergeCell ref="A2:AG2"/>
    <mergeCell ref="A3:AG3"/>
    <mergeCell ref="A4:AG4"/>
    <mergeCell ref="A5:AG5"/>
    <mergeCell ref="A6:AG6"/>
    <mergeCell ref="AB8:AB10"/>
    <mergeCell ref="J8:J10"/>
    <mergeCell ref="S8:S10"/>
    <mergeCell ref="M8:M10"/>
    <mergeCell ref="P8:P10"/>
    <mergeCell ref="A8:A10"/>
    <mergeCell ref="C8:C10"/>
    <mergeCell ref="D8:D10"/>
    <mergeCell ref="E8:E10"/>
  </mergeCells>
  <printOptions horizontalCentered="1" verticalCentered="1"/>
  <pageMargins left="0.5905511811023623" right="0.2755905511811024" top="0.5118110236220472" bottom="0.5905511811023623" header="0.5118110236220472" footer="0.5118110236220472"/>
  <pageSetup fitToHeight="1" fitToWidth="1" horizontalDpi="300" verticalDpi="300" orientation="landscape" scale="88" r:id="rId3"/>
  <rowBreaks count="1" manualBreakCount="1">
    <brk id="39" max="32" man="1"/>
  </rowBreaks>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R259"/>
  <sheetViews>
    <sheetView tabSelected="1" view="pageBreakPreview" zoomScale="75" zoomScaleNormal="75" zoomScaleSheetLayoutView="75" zoomScalePageLayoutView="0" workbookViewId="0" topLeftCell="A1">
      <pane xSplit="1" ySplit="6" topLeftCell="H7" activePane="bottomRight" state="frozen"/>
      <selection pane="topLeft" activeCell="A1" sqref="A1"/>
      <selection pane="topRight" activeCell="B1" sqref="B1"/>
      <selection pane="bottomLeft" activeCell="A7" sqref="A7"/>
      <selection pane="bottomRight" activeCell="H117" sqref="H117"/>
    </sheetView>
  </sheetViews>
  <sheetFormatPr defaultColWidth="11.421875" defaultRowHeight="12.75" outlineLevelRow="2" outlineLevelCol="2"/>
  <cols>
    <col min="1" max="1" width="43.421875" style="0" customWidth="1"/>
    <col min="2" max="2" width="15.8515625" style="0" hidden="1" customWidth="1" outlineLevel="2"/>
    <col min="3" max="3" width="21.421875" style="0" hidden="1" customWidth="1" outlineLevel="2"/>
    <col min="4" max="4" width="17.28125" style="0" hidden="1" customWidth="1" outlineLevel="2"/>
    <col min="5" max="5" width="16.57421875" style="0" hidden="1" customWidth="1" outlineLevel="2"/>
    <col min="6" max="6" width="16.7109375" style="0" hidden="1" customWidth="1" outlineLevel="1"/>
    <col min="7" max="7" width="19.140625" style="0" hidden="1" customWidth="1" outlineLevel="1"/>
    <col min="8" max="8" width="17.00390625" style="0" customWidth="1" collapsed="1"/>
    <col min="9" max="9" width="14.28125" style="0" hidden="1" customWidth="1" outlineLevel="1"/>
    <col min="10" max="10" width="15.140625" style="0" hidden="1" customWidth="1" outlineLevel="1"/>
    <col min="11" max="12" width="14.57421875" style="0" hidden="1" customWidth="1" outlineLevel="1"/>
    <col min="13" max="13" width="16.00390625" style="0" hidden="1" customWidth="1" outlineLevel="1" collapsed="1"/>
    <col min="14" max="14" width="18.140625" style="0" customWidth="1" collapsed="1"/>
    <col min="15" max="16" width="20.421875" style="0" customWidth="1"/>
    <col min="17" max="17" width="13.140625" style="446" customWidth="1"/>
    <col min="18" max="18" width="14.57421875" style="0" customWidth="1"/>
  </cols>
  <sheetData>
    <row r="1" spans="1:17" ht="15.75" hidden="1" outlineLevel="1" thickTop="1">
      <c r="A1" s="719" t="s">
        <v>18</v>
      </c>
      <c r="B1" s="720"/>
      <c r="C1" s="720"/>
      <c r="D1" s="720"/>
      <c r="E1" s="720"/>
      <c r="F1" s="720"/>
      <c r="G1" s="720"/>
      <c r="H1" s="720"/>
      <c r="I1" s="720"/>
      <c r="J1" s="720"/>
      <c r="K1" s="720"/>
      <c r="L1" s="720"/>
      <c r="M1" s="720"/>
      <c r="N1" s="720"/>
      <c r="O1" s="720"/>
      <c r="P1" s="720"/>
      <c r="Q1" s="721"/>
    </row>
    <row r="2" spans="1:17" ht="15" hidden="1" outlineLevel="1">
      <c r="A2" s="722" t="s">
        <v>51</v>
      </c>
      <c r="B2" s="723"/>
      <c r="C2" s="723"/>
      <c r="D2" s="723"/>
      <c r="E2" s="723"/>
      <c r="F2" s="723"/>
      <c r="G2" s="723"/>
      <c r="H2" s="723"/>
      <c r="I2" s="723"/>
      <c r="J2" s="723"/>
      <c r="K2" s="723"/>
      <c r="L2" s="723"/>
      <c r="M2" s="723"/>
      <c r="N2" s="723"/>
      <c r="O2" s="723"/>
      <c r="P2" s="723"/>
      <c r="Q2" s="724"/>
    </row>
    <row r="3" spans="1:17" ht="15" hidden="1" outlineLevel="1">
      <c r="A3" s="722" t="s">
        <v>377</v>
      </c>
      <c r="B3" s="723"/>
      <c r="C3" s="723"/>
      <c r="D3" s="723"/>
      <c r="E3" s="723"/>
      <c r="F3" s="723"/>
      <c r="G3" s="723"/>
      <c r="H3" s="723"/>
      <c r="I3" s="723"/>
      <c r="J3" s="723"/>
      <c r="K3" s="723"/>
      <c r="L3" s="723"/>
      <c r="M3" s="723"/>
      <c r="N3" s="723"/>
      <c r="O3" s="723"/>
      <c r="P3" s="723"/>
      <c r="Q3" s="724"/>
    </row>
    <row r="4" spans="1:17" ht="15" hidden="1" outlineLevel="1">
      <c r="A4" s="722" t="s">
        <v>307</v>
      </c>
      <c r="B4" s="723"/>
      <c r="C4" s="723"/>
      <c r="D4" s="723"/>
      <c r="E4" s="723"/>
      <c r="F4" s="723"/>
      <c r="G4" s="723"/>
      <c r="H4" s="723"/>
      <c r="I4" s="723"/>
      <c r="J4" s="723"/>
      <c r="K4" s="723"/>
      <c r="L4" s="723"/>
      <c r="M4" s="723"/>
      <c r="N4" s="723"/>
      <c r="O4" s="723"/>
      <c r="P4" s="723"/>
      <c r="Q4" s="724"/>
    </row>
    <row r="5" spans="1:17" ht="15.75" hidden="1" outlineLevel="1" thickBot="1">
      <c r="A5" s="447"/>
      <c r="B5" s="380"/>
      <c r="C5" s="402"/>
      <c r="D5" s="380"/>
      <c r="E5" s="380"/>
      <c r="F5" s="380"/>
      <c r="G5" s="380"/>
      <c r="H5" s="2"/>
      <c r="I5" s="2"/>
      <c r="J5" s="2"/>
      <c r="K5" s="2"/>
      <c r="L5" s="2"/>
      <c r="M5" s="2"/>
      <c r="N5" s="2"/>
      <c r="O5" s="2"/>
      <c r="P5" s="2"/>
      <c r="Q5" s="448"/>
    </row>
    <row r="6" spans="1:17" ht="45.75" collapsed="1" thickTop="1">
      <c r="A6" s="497" t="s">
        <v>29</v>
      </c>
      <c r="B6" s="498" t="s">
        <v>255</v>
      </c>
      <c r="C6" s="498" t="s">
        <v>256</v>
      </c>
      <c r="D6" s="498" t="s">
        <v>261</v>
      </c>
      <c r="E6" s="498" t="s">
        <v>257</v>
      </c>
      <c r="F6" s="498" t="s">
        <v>258</v>
      </c>
      <c r="G6" s="498" t="s">
        <v>16</v>
      </c>
      <c r="H6" s="498" t="s">
        <v>378</v>
      </c>
      <c r="I6" s="498" t="s">
        <v>379</v>
      </c>
      <c r="J6" s="498" t="s">
        <v>380</v>
      </c>
      <c r="K6" s="499" t="s">
        <v>381</v>
      </c>
      <c r="L6" s="499" t="s">
        <v>382</v>
      </c>
      <c r="M6" s="499" t="s">
        <v>383</v>
      </c>
      <c r="N6" s="498" t="s">
        <v>384</v>
      </c>
      <c r="O6" s="498" t="s">
        <v>433</v>
      </c>
      <c r="P6" s="499" t="s">
        <v>376</v>
      </c>
      <c r="Q6" s="686" t="s">
        <v>308</v>
      </c>
    </row>
    <row r="7" spans="1:17" ht="15.75" customHeight="1">
      <c r="A7" s="431" t="s">
        <v>259</v>
      </c>
      <c r="B7" s="500"/>
      <c r="C7" s="500"/>
      <c r="D7" s="500"/>
      <c r="E7" s="500"/>
      <c r="F7" s="500"/>
      <c r="G7" s="500"/>
      <c r="H7" s="687"/>
      <c r="I7" s="687"/>
      <c r="J7" s="688"/>
      <c r="K7" s="689"/>
      <c r="L7" s="689"/>
      <c r="M7" s="689"/>
      <c r="N7" s="689"/>
      <c r="O7" s="689"/>
      <c r="P7" s="690"/>
      <c r="Q7" s="451"/>
    </row>
    <row r="8" spans="1:18" ht="15.75" customHeight="1">
      <c r="A8" s="503" t="s">
        <v>251</v>
      </c>
      <c r="B8" s="504">
        <f aca="true" t="shared" si="0" ref="B8:H8">+B9+B10+B11+B12+B13+B15+B16+B17</f>
        <v>874152278.2544763</v>
      </c>
      <c r="C8" s="504">
        <f t="shared" si="0"/>
        <v>201718180.97336727</v>
      </c>
      <c r="D8" s="504">
        <f t="shared" si="0"/>
        <v>883403440.6165621</v>
      </c>
      <c r="E8" s="504">
        <f t="shared" si="0"/>
        <v>240065203.60364738</v>
      </c>
      <c r="F8" s="504">
        <f t="shared" si="0"/>
        <v>2199339103.448053</v>
      </c>
      <c r="G8" s="504">
        <f t="shared" si="0"/>
        <v>164283019.22628286</v>
      </c>
      <c r="H8" s="504">
        <f t="shared" si="0"/>
        <v>2363622122.674336</v>
      </c>
      <c r="I8" s="504"/>
      <c r="J8" s="505">
        <f>SUM(J9:J19)</f>
        <v>-93392973</v>
      </c>
      <c r="K8" s="506">
        <f>+K9+K10+K11+K12+K13+K15+K16+K17</f>
        <v>-18915273</v>
      </c>
      <c r="L8" s="507"/>
      <c r="M8" s="506">
        <f>+M9+M10+M11+M12+M13+M15+M16+M17</f>
        <v>-7982101</v>
      </c>
      <c r="N8" s="506">
        <f>SUM(H8:M8)</f>
        <v>2243331775.674336</v>
      </c>
      <c r="O8" s="506">
        <f>+O9+O10+O11+O12+O13+O15+O16+O17</f>
        <v>2080185278</v>
      </c>
      <c r="P8" s="441">
        <f>+P9+P10+P11+P12+P13+P15+P16+P17</f>
        <v>-158146497.67433602</v>
      </c>
      <c r="Q8" s="452">
        <f>+O8/N8</f>
        <v>0.9272749133929177</v>
      </c>
      <c r="R8" s="445"/>
    </row>
    <row r="9" spans="1:18" ht="15.75" customHeight="1">
      <c r="A9" s="508" t="s">
        <v>262</v>
      </c>
      <c r="B9" s="509">
        <v>589614253.8448447</v>
      </c>
      <c r="C9" s="509">
        <v>142595168.20529133</v>
      </c>
      <c r="D9" s="509">
        <f>594876162.834816</f>
        <v>594876162.834816</v>
      </c>
      <c r="E9" s="509">
        <v>170436904.62006533</v>
      </c>
      <c r="F9" s="509">
        <v>1497522489.5050173</v>
      </c>
      <c r="G9" s="509">
        <v>110774698.79254897</v>
      </c>
      <c r="H9" s="509">
        <v>1608297188.2975662</v>
      </c>
      <c r="I9" s="509"/>
      <c r="J9" s="510">
        <f>-30350666-38163049</f>
        <v>-68513715</v>
      </c>
      <c r="K9" s="511">
        <v>-12862361</v>
      </c>
      <c r="L9" s="511"/>
      <c r="M9" s="511">
        <f>-7430000-552101</f>
        <v>-7982101</v>
      </c>
      <c r="N9" s="511">
        <f>SUM(H9:M9)</f>
        <v>1518939011.2975662</v>
      </c>
      <c r="O9" s="511">
        <v>1403257790</v>
      </c>
      <c r="P9" s="443">
        <f>+O9-N9</f>
        <v>-115681221.29756618</v>
      </c>
      <c r="Q9" s="452">
        <f aca="true" t="shared" si="1" ref="Q9:Q71">+O9/N9</f>
        <v>0.9238407727781351</v>
      </c>
      <c r="R9" s="445"/>
    </row>
    <row r="10" spans="1:18" ht="15.75" customHeight="1">
      <c r="A10" s="508" t="s">
        <v>5</v>
      </c>
      <c r="B10" s="509">
        <v>42303414.54548</v>
      </c>
      <c r="C10" s="509">
        <v>7028130.39274</v>
      </c>
      <c r="D10" s="509">
        <v>42745319.25822</v>
      </c>
      <c r="E10" s="509">
        <v>8284742.85274</v>
      </c>
      <c r="F10" s="509">
        <v>100361607.04918</v>
      </c>
      <c r="G10" s="509">
        <v>8433153.65064</v>
      </c>
      <c r="H10" s="509">
        <v>108794760.69982</v>
      </c>
      <c r="I10" s="509"/>
      <c r="J10" s="510">
        <v>-3180254</v>
      </c>
      <c r="K10" s="511">
        <v>-1060085</v>
      </c>
      <c r="L10" s="511"/>
      <c r="M10" s="511"/>
      <c r="N10" s="511">
        <f aca="true" t="shared" si="2" ref="N10:N19">SUM(H10:M10)</f>
        <v>104554421.69982</v>
      </c>
      <c r="O10" s="511">
        <v>98708147</v>
      </c>
      <c r="P10" s="443">
        <f aca="true" t="shared" si="3" ref="P10:P19">+O10-N10</f>
        <v>-5846274.699819997</v>
      </c>
      <c r="Q10" s="452">
        <f t="shared" si="1"/>
        <v>0.9440839076456767</v>
      </c>
      <c r="R10" s="445"/>
    </row>
    <row r="11" spans="1:18" ht="15.75" customHeight="1">
      <c r="A11" s="508" t="s">
        <v>6</v>
      </c>
      <c r="B11" s="509">
        <v>5076409.7454576</v>
      </c>
      <c r="C11" s="509">
        <v>843375.6471288</v>
      </c>
      <c r="D11" s="509">
        <v>5129438.310986401</v>
      </c>
      <c r="E11" s="509">
        <v>994169.1423288</v>
      </c>
      <c r="F11" s="509">
        <v>12043392.845901601</v>
      </c>
      <c r="G11" s="509">
        <v>1011978.4380768</v>
      </c>
      <c r="H11" s="509">
        <v>13055371.2839784</v>
      </c>
      <c r="I11" s="509"/>
      <c r="J11" s="510">
        <v>-381630</v>
      </c>
      <c r="K11" s="511">
        <v>-127211</v>
      </c>
      <c r="L11" s="511"/>
      <c r="M11" s="511"/>
      <c r="N11" s="511">
        <f t="shared" si="2"/>
        <v>12546530.2839784</v>
      </c>
      <c r="O11" s="511">
        <v>10536592</v>
      </c>
      <c r="P11" s="443">
        <f t="shared" si="3"/>
        <v>-2009938.2839784008</v>
      </c>
      <c r="Q11" s="452">
        <f t="shared" si="1"/>
        <v>0.8398012646934714</v>
      </c>
      <c r="R11" s="445"/>
    </row>
    <row r="12" spans="1:18" ht="15.75" customHeight="1">
      <c r="A12" s="508" t="s">
        <v>1</v>
      </c>
      <c r="B12" s="509">
        <v>42303414.54548</v>
      </c>
      <c r="C12" s="509">
        <v>7028130.39274</v>
      </c>
      <c r="D12" s="509">
        <v>42745319.25822</v>
      </c>
      <c r="E12" s="509">
        <v>8284742.85274</v>
      </c>
      <c r="F12" s="509">
        <v>100361607.04918</v>
      </c>
      <c r="G12" s="509">
        <v>8433153.65064</v>
      </c>
      <c r="H12" s="509">
        <v>108794760.69982</v>
      </c>
      <c r="I12" s="509"/>
      <c r="J12" s="510">
        <v>-3180254</v>
      </c>
      <c r="K12" s="511">
        <v>-1060085</v>
      </c>
      <c r="L12" s="511"/>
      <c r="M12" s="511"/>
      <c r="N12" s="511">
        <f t="shared" si="2"/>
        <v>104554421.69982</v>
      </c>
      <c r="O12" s="511">
        <v>98708147</v>
      </c>
      <c r="P12" s="443">
        <f t="shared" si="3"/>
        <v>-5846274.699819997</v>
      </c>
      <c r="Q12" s="452">
        <f t="shared" si="1"/>
        <v>0.9440839076456767</v>
      </c>
      <c r="R12" s="445"/>
    </row>
    <row r="13" spans="1:18" ht="15.75" customHeight="1">
      <c r="A13" s="508" t="s">
        <v>2</v>
      </c>
      <c r="B13" s="509">
        <v>24499207.22347</v>
      </c>
      <c r="C13" s="509">
        <v>6861565.1471</v>
      </c>
      <c r="D13" s="509">
        <v>24720159.57984</v>
      </c>
      <c r="E13" s="509">
        <v>7489871.3771</v>
      </c>
      <c r="F13" s="509">
        <v>63570803.32750999</v>
      </c>
      <c r="G13" s="509">
        <v>4216576.82532</v>
      </c>
      <c r="H13" s="509">
        <v>67787380.15282999</v>
      </c>
      <c r="I13" s="509"/>
      <c r="J13" s="510">
        <f>-3347500-2120169</f>
        <v>-5467669</v>
      </c>
      <c r="K13" s="511">
        <v>0</v>
      </c>
      <c r="L13" s="511"/>
      <c r="M13" s="511"/>
      <c r="N13" s="511">
        <f t="shared" si="2"/>
        <v>62319711.15282999</v>
      </c>
      <c r="O13" s="511">
        <v>59982515</v>
      </c>
      <c r="P13" s="443">
        <f t="shared" si="3"/>
        <v>-2337196.15282999</v>
      </c>
      <c r="Q13" s="452">
        <f t="shared" si="1"/>
        <v>0.9624966786656254</v>
      </c>
      <c r="R13" s="445"/>
    </row>
    <row r="14" spans="1:18" ht="15.75" customHeight="1">
      <c r="A14" s="508" t="s">
        <v>224</v>
      </c>
      <c r="B14" s="509"/>
      <c r="C14" s="509"/>
      <c r="D14" s="509"/>
      <c r="E14" s="509"/>
      <c r="F14" s="509">
        <v>0</v>
      </c>
      <c r="G14" s="509">
        <v>20000000</v>
      </c>
      <c r="H14" s="509">
        <v>20000000</v>
      </c>
      <c r="I14" s="509"/>
      <c r="J14" s="510">
        <v>5000000</v>
      </c>
      <c r="K14" s="511">
        <v>0</v>
      </c>
      <c r="L14" s="511"/>
      <c r="M14" s="511"/>
      <c r="N14" s="511">
        <f t="shared" si="2"/>
        <v>25000000</v>
      </c>
      <c r="O14" s="511">
        <v>24971560</v>
      </c>
      <c r="P14" s="443">
        <f t="shared" si="3"/>
        <v>-28440</v>
      </c>
      <c r="Q14" s="452">
        <f t="shared" si="1"/>
        <v>0.9988624</v>
      </c>
      <c r="R14" s="445"/>
    </row>
    <row r="15" spans="1:18" ht="15.75" customHeight="1">
      <c r="A15" s="508" t="s">
        <v>3</v>
      </c>
      <c r="B15" s="509">
        <v>119598711.73208714</v>
      </c>
      <c r="C15" s="509">
        <v>26161481.407029975</v>
      </c>
      <c r="D15" s="509">
        <v>122023208.3279231</v>
      </c>
      <c r="E15" s="509">
        <v>31212140.194951363</v>
      </c>
      <c r="F15" s="509">
        <v>298995541.6619916</v>
      </c>
      <c r="G15" s="509">
        <v>22480168.60600626</v>
      </c>
      <c r="H15" s="509">
        <v>321475710.26799786</v>
      </c>
      <c r="I15" s="509"/>
      <c r="J15" s="510">
        <f>-4466222-7906278</f>
        <v>-12372500</v>
      </c>
      <c r="K15" s="511">
        <v>-2664708</v>
      </c>
      <c r="L15" s="511"/>
      <c r="M15" s="511"/>
      <c r="N15" s="511">
        <f t="shared" si="2"/>
        <v>306438502.26799786</v>
      </c>
      <c r="O15" s="511">
        <v>287967070</v>
      </c>
      <c r="P15" s="443">
        <f t="shared" si="3"/>
        <v>-18471432.26799786</v>
      </c>
      <c r="Q15" s="452">
        <f t="shared" si="1"/>
        <v>0.9397222211592604</v>
      </c>
      <c r="R15" s="445"/>
    </row>
    <row r="16" spans="1:18" ht="15.75" customHeight="1">
      <c r="A16" s="508" t="s">
        <v>7</v>
      </c>
      <c r="B16" s="509">
        <v>22558607.385625258</v>
      </c>
      <c r="C16" s="509">
        <v>4977924.34726096</v>
      </c>
      <c r="D16" s="509">
        <v>22739481.354025256</v>
      </c>
      <c r="E16" s="509">
        <v>5938947.806098632</v>
      </c>
      <c r="F16" s="509">
        <v>56214960.8930101</v>
      </c>
      <c r="G16" s="509">
        <v>3970350.7835781593</v>
      </c>
      <c r="H16" s="509">
        <v>60185311.67658826</v>
      </c>
      <c r="I16" s="509"/>
      <c r="J16" s="510">
        <f>-849819-1504382</f>
        <v>-2354201</v>
      </c>
      <c r="K16" s="511">
        <v>-507032</v>
      </c>
      <c r="L16" s="511"/>
      <c r="M16" s="511"/>
      <c r="N16" s="511">
        <f t="shared" si="2"/>
        <v>57324078.67658826</v>
      </c>
      <c r="O16" s="511">
        <v>53789140</v>
      </c>
      <c r="P16" s="443">
        <f t="shared" si="3"/>
        <v>-3534938.6765882596</v>
      </c>
      <c r="Q16" s="452">
        <f t="shared" si="1"/>
        <v>0.9383341388436136</v>
      </c>
      <c r="R16" s="445"/>
    </row>
    <row r="17" spans="1:18" ht="15.75" customHeight="1">
      <c r="A17" s="508" t="s">
        <v>4</v>
      </c>
      <c r="B17" s="509">
        <v>28198259.232031573</v>
      </c>
      <c r="C17" s="509">
        <v>6222405.434076199</v>
      </c>
      <c r="D17" s="509">
        <v>28424351.692531575</v>
      </c>
      <c r="E17" s="509">
        <v>7423684.757623289</v>
      </c>
      <c r="F17" s="509">
        <v>70268701.11626263</v>
      </c>
      <c r="G17" s="509">
        <v>4962938.4794727</v>
      </c>
      <c r="H17" s="509">
        <v>75231639.59573533</v>
      </c>
      <c r="I17" s="509"/>
      <c r="J17" s="510">
        <f>-1062273-1880477</f>
        <v>-2942750</v>
      </c>
      <c r="K17" s="511">
        <v>-633791</v>
      </c>
      <c r="L17" s="511"/>
      <c r="M17" s="511"/>
      <c r="N17" s="511">
        <f t="shared" si="2"/>
        <v>71655098.59573533</v>
      </c>
      <c r="O17" s="511">
        <v>67235877</v>
      </c>
      <c r="P17" s="443">
        <f t="shared" si="3"/>
        <v>-4419221.595735326</v>
      </c>
      <c r="Q17" s="452">
        <f t="shared" si="1"/>
        <v>0.9383264878237382</v>
      </c>
      <c r="R17" s="445"/>
    </row>
    <row r="18" spans="1:18" ht="15.75" customHeight="1">
      <c r="A18" s="508" t="s">
        <v>260</v>
      </c>
      <c r="B18" s="509">
        <v>600000</v>
      </c>
      <c r="C18" s="509">
        <v>300000</v>
      </c>
      <c r="D18" s="509">
        <v>900000</v>
      </c>
      <c r="E18" s="509">
        <v>300000</v>
      </c>
      <c r="F18" s="509">
        <v>2100000</v>
      </c>
      <c r="G18" s="509">
        <v>900000</v>
      </c>
      <c r="H18" s="509">
        <v>3000000</v>
      </c>
      <c r="I18" s="509"/>
      <c r="J18" s="510"/>
      <c r="K18" s="511"/>
      <c r="L18" s="511"/>
      <c r="M18" s="511"/>
      <c r="N18" s="511">
        <f t="shared" si="2"/>
        <v>3000000</v>
      </c>
      <c r="O18" s="511">
        <v>2700000</v>
      </c>
      <c r="P18" s="443">
        <f t="shared" si="3"/>
        <v>-300000</v>
      </c>
      <c r="Q18" s="452">
        <f t="shared" si="1"/>
        <v>0.9</v>
      </c>
      <c r="R18" s="445"/>
    </row>
    <row r="19" spans="1:18" ht="15.75" customHeight="1">
      <c r="A19" s="508" t="s">
        <v>20</v>
      </c>
      <c r="B19" s="512">
        <v>29463000</v>
      </c>
      <c r="C19" s="513"/>
      <c r="D19" s="512">
        <v>21234144</v>
      </c>
      <c r="E19" s="512"/>
      <c r="F19" s="512">
        <v>50697144</v>
      </c>
      <c r="G19" s="509">
        <v>52960000</v>
      </c>
      <c r="H19" s="509">
        <v>103657144</v>
      </c>
      <c r="I19" s="509"/>
      <c r="J19" s="510"/>
      <c r="K19" s="511"/>
      <c r="L19" s="511"/>
      <c r="M19" s="511"/>
      <c r="N19" s="511">
        <f t="shared" si="2"/>
        <v>103657144</v>
      </c>
      <c r="O19" s="511">
        <v>98953340</v>
      </c>
      <c r="P19" s="443">
        <f t="shared" si="3"/>
        <v>-4703804</v>
      </c>
      <c r="Q19" s="452">
        <f t="shared" si="1"/>
        <v>0.9546215164870836</v>
      </c>
      <c r="R19" s="445"/>
    </row>
    <row r="20" spans="1:18" ht="15.75" customHeight="1">
      <c r="A20" s="439" t="s">
        <v>252</v>
      </c>
      <c r="B20" s="514">
        <f aca="true" t="shared" si="4" ref="B20:H20">SUM(B9:B19)</f>
        <v>904215278.2544763</v>
      </c>
      <c r="C20" s="514">
        <f t="shared" si="4"/>
        <v>202018180.97336727</v>
      </c>
      <c r="D20" s="514">
        <f t="shared" si="4"/>
        <v>905537584.6165621</v>
      </c>
      <c r="E20" s="514">
        <f t="shared" si="4"/>
        <v>240365203.60364738</v>
      </c>
      <c r="F20" s="514">
        <f t="shared" si="4"/>
        <v>2252136247.448053</v>
      </c>
      <c r="G20" s="514">
        <f t="shared" si="4"/>
        <v>238143019.2262829</v>
      </c>
      <c r="H20" s="514">
        <f t="shared" si="4"/>
        <v>2490279266.674336</v>
      </c>
      <c r="I20" s="514"/>
      <c r="J20" s="515">
        <f>SUM(J9:J19)</f>
        <v>-93392973</v>
      </c>
      <c r="K20" s="506">
        <f>SUM(K9:K19)</f>
        <v>-18915273</v>
      </c>
      <c r="L20" s="506">
        <f>SUM(L9:L19)</f>
        <v>0</v>
      </c>
      <c r="M20" s="506">
        <f>SUM(M9:M19)</f>
        <v>-7982101</v>
      </c>
      <c r="N20" s="506">
        <f>SUM(H20:M20)</f>
        <v>2369988919.674336</v>
      </c>
      <c r="O20" s="506">
        <f>SUM(O9:O19)</f>
        <v>2206810178</v>
      </c>
      <c r="P20" s="442">
        <f>SUM(P9:P19)</f>
        <v>-163178741.67433602</v>
      </c>
      <c r="Q20" s="452">
        <f t="shared" si="1"/>
        <v>0.9311478883636475</v>
      </c>
      <c r="R20" s="445"/>
    </row>
    <row r="21" spans="1:18" ht="15.75" customHeight="1">
      <c r="A21" s="431" t="s">
        <v>21</v>
      </c>
      <c r="B21" s="500"/>
      <c r="C21" s="500"/>
      <c r="D21" s="500"/>
      <c r="E21" s="500"/>
      <c r="F21" s="509"/>
      <c r="G21" s="514"/>
      <c r="H21" s="509"/>
      <c r="I21" s="509"/>
      <c r="J21" s="510"/>
      <c r="K21" s="511"/>
      <c r="L21" s="511"/>
      <c r="M21" s="511"/>
      <c r="N21" s="511"/>
      <c r="O21" s="511"/>
      <c r="P21" s="441"/>
      <c r="Q21" s="452"/>
      <c r="R21" s="445"/>
    </row>
    <row r="22" spans="1:18" ht="15.75" customHeight="1">
      <c r="A22" s="516" t="s">
        <v>41</v>
      </c>
      <c r="B22" s="398">
        <v>0</v>
      </c>
      <c r="C22" s="398">
        <v>6000000</v>
      </c>
      <c r="D22" s="398">
        <v>0</v>
      </c>
      <c r="E22" s="398">
        <v>0</v>
      </c>
      <c r="F22" s="509">
        <v>6000000</v>
      </c>
      <c r="G22" s="509">
        <v>60564693.936000004</v>
      </c>
      <c r="H22" s="509">
        <v>66564693.936000004</v>
      </c>
      <c r="I22" s="509"/>
      <c r="J22" s="510"/>
      <c r="K22" s="511"/>
      <c r="L22" s="511"/>
      <c r="M22" s="511"/>
      <c r="N22" s="511">
        <f>SUM(H22:M22)</f>
        <v>66564693.936000004</v>
      </c>
      <c r="O22" s="511">
        <v>65440501.57</v>
      </c>
      <c r="P22" s="443">
        <f aca="true" t="shared" si="5" ref="P22:P35">+O22-N22</f>
        <v>-1124192.366000004</v>
      </c>
      <c r="Q22" s="452">
        <f t="shared" si="1"/>
        <v>0.9831112816791303</v>
      </c>
      <c r="R22" s="445"/>
    </row>
    <row r="23" spans="1:18" ht="15.75" customHeight="1">
      <c r="A23" s="516" t="s">
        <v>42</v>
      </c>
      <c r="B23" s="398">
        <v>0</v>
      </c>
      <c r="C23" s="398">
        <v>0</v>
      </c>
      <c r="D23" s="398">
        <v>0</v>
      </c>
      <c r="E23" s="398">
        <v>0</v>
      </c>
      <c r="F23" s="509">
        <v>0</v>
      </c>
      <c r="G23" s="509">
        <v>6232322.688</v>
      </c>
      <c r="H23" s="509">
        <v>6232322.688</v>
      </c>
      <c r="I23" s="509"/>
      <c r="J23" s="510"/>
      <c r="K23" s="511"/>
      <c r="L23" s="511"/>
      <c r="M23" s="511"/>
      <c r="N23" s="511">
        <f aca="true" t="shared" si="6" ref="N23:N35">SUM(H23:M23)</f>
        <v>6232322.688</v>
      </c>
      <c r="O23" s="511">
        <v>6225763.688</v>
      </c>
      <c r="P23" s="443">
        <f t="shared" si="5"/>
        <v>-6559</v>
      </c>
      <c r="Q23" s="452">
        <f t="shared" si="1"/>
        <v>0.9989475833764787</v>
      </c>
      <c r="R23" s="445"/>
    </row>
    <row r="24" spans="1:18" ht="15.75" customHeight="1">
      <c r="A24" s="516" t="s">
        <v>43</v>
      </c>
      <c r="B24" s="398">
        <v>0</v>
      </c>
      <c r="C24" s="398">
        <v>0</v>
      </c>
      <c r="D24" s="398">
        <v>4800000</v>
      </c>
      <c r="E24" s="398">
        <v>0</v>
      </c>
      <c r="F24" s="509">
        <v>4800000</v>
      </c>
      <c r="G24" s="509">
        <v>16796520</v>
      </c>
      <c r="H24" s="509">
        <v>21596520</v>
      </c>
      <c r="I24" s="509"/>
      <c r="J24" s="510"/>
      <c r="K24" s="511"/>
      <c r="L24" s="511"/>
      <c r="M24" s="511"/>
      <c r="N24" s="511">
        <f t="shared" si="6"/>
        <v>21596520</v>
      </c>
      <c r="O24" s="511">
        <v>21332297</v>
      </c>
      <c r="P24" s="443">
        <f t="shared" si="5"/>
        <v>-264223</v>
      </c>
      <c r="Q24" s="452">
        <f t="shared" si="1"/>
        <v>0.9877654825870094</v>
      </c>
      <c r="R24" s="445"/>
    </row>
    <row r="25" spans="1:18" s="376" customFormat="1" ht="15.75" customHeight="1">
      <c r="A25" s="516" t="s">
        <v>22</v>
      </c>
      <c r="B25" s="398">
        <v>6000000</v>
      </c>
      <c r="C25" s="398">
        <v>6000000</v>
      </c>
      <c r="D25" s="398">
        <v>6000000</v>
      </c>
      <c r="E25" s="398">
        <v>6000000</v>
      </c>
      <c r="F25" s="509">
        <v>24000000</v>
      </c>
      <c r="G25" s="509">
        <v>27647654.3248</v>
      </c>
      <c r="H25" s="509">
        <v>51647654.3248</v>
      </c>
      <c r="I25" s="509"/>
      <c r="J25" s="510"/>
      <c r="K25" s="511"/>
      <c r="L25" s="511"/>
      <c r="M25" s="511"/>
      <c r="N25" s="511">
        <f t="shared" si="6"/>
        <v>51647654.3248</v>
      </c>
      <c r="O25" s="511">
        <v>44544409</v>
      </c>
      <c r="P25" s="443">
        <f t="shared" si="5"/>
        <v>-7103245.3248</v>
      </c>
      <c r="Q25" s="452">
        <f t="shared" si="1"/>
        <v>0.8624672230004996</v>
      </c>
      <c r="R25" s="445"/>
    </row>
    <row r="26" spans="1:18" ht="15.75" customHeight="1">
      <c r="A26" s="516" t="s">
        <v>44</v>
      </c>
      <c r="B26" s="509">
        <v>9027472.0332</v>
      </c>
      <c r="C26" s="509">
        <v>6261350.4887999995</v>
      </c>
      <c r="D26" s="509">
        <v>12176287.3868</v>
      </c>
      <c r="E26" s="509">
        <v>8892342.0556</v>
      </c>
      <c r="F26" s="509">
        <v>36357451.9644</v>
      </c>
      <c r="G26" s="509">
        <v>25647202.2504</v>
      </c>
      <c r="H26" s="509">
        <v>62004654.2148</v>
      </c>
      <c r="I26" s="509"/>
      <c r="J26" s="510"/>
      <c r="K26" s="511"/>
      <c r="L26" s="511"/>
      <c r="M26" s="511"/>
      <c r="N26" s="511">
        <f t="shared" si="6"/>
        <v>62004654.2148</v>
      </c>
      <c r="O26" s="511">
        <v>48869123.35</v>
      </c>
      <c r="P26" s="443">
        <f t="shared" si="5"/>
        <v>-13135530.864799999</v>
      </c>
      <c r="Q26" s="452">
        <f t="shared" si="1"/>
        <v>0.7881525019187244</v>
      </c>
      <c r="R26" s="445"/>
    </row>
    <row r="27" spans="1:18" ht="15.75" customHeight="1">
      <c r="A27" s="516" t="s">
        <v>23</v>
      </c>
      <c r="B27" s="398">
        <v>2280080</v>
      </c>
      <c r="C27" s="398">
        <v>0</v>
      </c>
      <c r="D27" s="398">
        <v>1627977.12</v>
      </c>
      <c r="E27" s="398">
        <v>0</v>
      </c>
      <c r="F27" s="509">
        <v>3908057.12</v>
      </c>
      <c r="G27" s="509">
        <v>40544117.2416</v>
      </c>
      <c r="H27" s="509">
        <v>44452174.3616</v>
      </c>
      <c r="I27" s="509"/>
      <c r="J27" s="510"/>
      <c r="K27" s="511"/>
      <c r="L27" s="511"/>
      <c r="M27" s="511"/>
      <c r="N27" s="511">
        <f t="shared" si="6"/>
        <v>44452174.3616</v>
      </c>
      <c r="O27" s="511">
        <v>43711404</v>
      </c>
      <c r="P27" s="443">
        <f t="shared" si="5"/>
        <v>-740770.3615999967</v>
      </c>
      <c r="Q27" s="452">
        <f t="shared" si="1"/>
        <v>0.9833355651947611</v>
      </c>
      <c r="R27" s="445"/>
    </row>
    <row r="28" spans="1:18" ht="15.75" customHeight="1">
      <c r="A28" s="516" t="s">
        <v>267</v>
      </c>
      <c r="B28" s="509">
        <v>10400000</v>
      </c>
      <c r="C28" s="509">
        <v>15000000</v>
      </c>
      <c r="D28" s="509">
        <v>158060000</v>
      </c>
      <c r="E28" s="398">
        <v>10000000</v>
      </c>
      <c r="F28" s="509">
        <v>193460000</v>
      </c>
      <c r="G28" s="509">
        <v>12000000</v>
      </c>
      <c r="H28" s="509">
        <v>205460000</v>
      </c>
      <c r="I28" s="509"/>
      <c r="J28" s="510"/>
      <c r="K28" s="511"/>
      <c r="L28" s="511"/>
      <c r="M28" s="511"/>
      <c r="N28" s="511">
        <f t="shared" si="6"/>
        <v>205460000</v>
      </c>
      <c r="O28" s="511">
        <v>189102267</v>
      </c>
      <c r="P28" s="443">
        <f t="shared" si="5"/>
        <v>-16357733</v>
      </c>
      <c r="Q28" s="452">
        <f t="shared" si="1"/>
        <v>0.9203848291638275</v>
      </c>
      <c r="R28" s="445"/>
    </row>
    <row r="29" spans="1:18" ht="15.75" customHeight="1">
      <c r="A29" s="516" t="s">
        <v>195</v>
      </c>
      <c r="B29" s="509">
        <v>19000000</v>
      </c>
      <c r="C29" s="398">
        <v>0</v>
      </c>
      <c r="D29" s="509">
        <v>17000000</v>
      </c>
      <c r="E29" s="398">
        <v>0</v>
      </c>
      <c r="F29" s="509">
        <v>36000000</v>
      </c>
      <c r="G29" s="509">
        <v>9771179.2</v>
      </c>
      <c r="H29" s="509">
        <v>45771179.2</v>
      </c>
      <c r="I29" s="509"/>
      <c r="J29" s="510"/>
      <c r="K29" s="511">
        <v>-5600306</v>
      </c>
      <c r="L29" s="511"/>
      <c r="M29" s="511"/>
      <c r="N29" s="511">
        <f t="shared" si="6"/>
        <v>40170873.2</v>
      </c>
      <c r="O29" s="511">
        <v>40053004.6</v>
      </c>
      <c r="P29" s="443">
        <f t="shared" si="5"/>
        <v>-117868.60000000149</v>
      </c>
      <c r="Q29" s="452">
        <f t="shared" si="1"/>
        <v>0.9970658193210498</v>
      </c>
      <c r="R29" s="445"/>
    </row>
    <row r="30" spans="1:18" ht="15.75" customHeight="1">
      <c r="A30" s="516" t="s">
        <v>24</v>
      </c>
      <c r="B30" s="509">
        <v>40000000</v>
      </c>
      <c r="C30" s="398">
        <v>3000000</v>
      </c>
      <c r="D30" s="398">
        <v>30000000</v>
      </c>
      <c r="E30" s="398">
        <v>15000000</v>
      </c>
      <c r="F30" s="509">
        <v>88000000</v>
      </c>
      <c r="G30" s="509">
        <v>20728000</v>
      </c>
      <c r="H30" s="509">
        <v>108728000</v>
      </c>
      <c r="I30" s="509"/>
      <c r="J30" s="510"/>
      <c r="K30" s="511">
        <v>5600306</v>
      </c>
      <c r="L30" s="511"/>
      <c r="M30" s="511"/>
      <c r="N30" s="511">
        <f t="shared" si="6"/>
        <v>114328306</v>
      </c>
      <c r="O30" s="511">
        <v>111878554.25</v>
      </c>
      <c r="P30" s="443">
        <f t="shared" si="5"/>
        <v>-2449751.75</v>
      </c>
      <c r="Q30" s="452">
        <f t="shared" si="1"/>
        <v>0.978572657675869</v>
      </c>
      <c r="R30" s="445"/>
    </row>
    <row r="31" spans="1:18" ht="15.75" customHeight="1">
      <c r="A31" s="516" t="s">
        <v>40</v>
      </c>
      <c r="B31" s="500"/>
      <c r="C31" s="398">
        <v>0</v>
      </c>
      <c r="D31" s="398">
        <v>1500000</v>
      </c>
      <c r="E31" s="398">
        <v>0</v>
      </c>
      <c r="F31" s="509">
        <v>1500000</v>
      </c>
      <c r="G31" s="509">
        <v>3109200</v>
      </c>
      <c r="H31" s="509">
        <v>4609200</v>
      </c>
      <c r="I31" s="509"/>
      <c r="J31" s="510"/>
      <c r="K31" s="511"/>
      <c r="L31" s="511"/>
      <c r="M31" s="511"/>
      <c r="N31" s="511">
        <f t="shared" si="6"/>
        <v>4609200</v>
      </c>
      <c r="O31" s="511">
        <v>4130078</v>
      </c>
      <c r="P31" s="443">
        <f t="shared" si="5"/>
        <v>-479122</v>
      </c>
      <c r="Q31" s="452">
        <f t="shared" si="1"/>
        <v>0.8960509415950707</v>
      </c>
      <c r="R31" s="445"/>
    </row>
    <row r="32" spans="1:18" ht="15.75" customHeight="1">
      <c r="A32" s="516" t="s">
        <v>46</v>
      </c>
      <c r="B32" s="398">
        <v>30000000</v>
      </c>
      <c r="C32" s="398">
        <v>0</v>
      </c>
      <c r="D32" s="398">
        <f>22700000</f>
        <v>22700000</v>
      </c>
      <c r="E32" s="398">
        <v>0</v>
      </c>
      <c r="F32" s="509">
        <v>52700000</v>
      </c>
      <c r="G32" s="509">
        <v>22500000</v>
      </c>
      <c r="H32" s="509">
        <v>75200000</v>
      </c>
      <c r="I32" s="509"/>
      <c r="J32" s="510"/>
      <c r="K32" s="511"/>
      <c r="L32" s="511"/>
      <c r="M32" s="511">
        <f>7430000+552101</f>
        <v>7982101</v>
      </c>
      <c r="N32" s="511">
        <f t="shared" si="6"/>
        <v>83182101</v>
      </c>
      <c r="O32" s="511">
        <v>57006852</v>
      </c>
      <c r="P32" s="443">
        <f t="shared" si="5"/>
        <v>-26175249</v>
      </c>
      <c r="Q32" s="452">
        <f>+O32/N32</f>
        <v>0.685325945301622</v>
      </c>
      <c r="R32" s="445"/>
    </row>
    <row r="33" spans="1:18" ht="15.75" customHeight="1">
      <c r="A33" s="516" t="s">
        <v>47</v>
      </c>
      <c r="B33" s="398">
        <v>0</v>
      </c>
      <c r="C33" s="398">
        <v>0</v>
      </c>
      <c r="D33" s="398">
        <v>0</v>
      </c>
      <c r="E33" s="398">
        <v>0</v>
      </c>
      <c r="F33" s="509">
        <v>0</v>
      </c>
      <c r="G33" s="509">
        <v>18655200</v>
      </c>
      <c r="H33" s="509">
        <v>18655200</v>
      </c>
      <c r="I33" s="509"/>
      <c r="J33" s="510"/>
      <c r="K33" s="511"/>
      <c r="L33" s="511"/>
      <c r="M33" s="511"/>
      <c r="N33" s="511">
        <f t="shared" si="6"/>
        <v>18655200</v>
      </c>
      <c r="O33" s="511">
        <v>10794262.719999999</v>
      </c>
      <c r="P33" s="443">
        <f t="shared" si="5"/>
        <v>-7860937.280000001</v>
      </c>
      <c r="Q33" s="452">
        <f t="shared" si="1"/>
        <v>0.5786195119859342</v>
      </c>
      <c r="R33" s="445"/>
    </row>
    <row r="34" spans="1:18" ht="15.75" customHeight="1">
      <c r="A34" s="516" t="s">
        <v>48</v>
      </c>
      <c r="B34" s="398">
        <v>0</v>
      </c>
      <c r="C34" s="398">
        <v>0</v>
      </c>
      <c r="D34" s="398">
        <v>36000000</v>
      </c>
      <c r="E34" s="398">
        <v>0</v>
      </c>
      <c r="F34" s="509">
        <v>36000000</v>
      </c>
      <c r="G34" s="509">
        <v>65000000</v>
      </c>
      <c r="H34" s="509">
        <v>101000000</v>
      </c>
      <c r="I34" s="509"/>
      <c r="J34" s="510"/>
      <c r="K34" s="511">
        <v>-7942063</v>
      </c>
      <c r="L34" s="511"/>
      <c r="M34" s="511"/>
      <c r="N34" s="511">
        <f t="shared" si="6"/>
        <v>93057937</v>
      </c>
      <c r="O34" s="511">
        <v>81013424.91</v>
      </c>
      <c r="P34" s="443">
        <f t="shared" si="5"/>
        <v>-12044512.090000004</v>
      </c>
      <c r="Q34" s="452">
        <f t="shared" si="1"/>
        <v>0.8705697495743968</v>
      </c>
      <c r="R34" s="445"/>
    </row>
    <row r="35" spans="1:18" ht="15.75" customHeight="1">
      <c r="A35" s="516" t="s">
        <v>49</v>
      </c>
      <c r="B35" s="398">
        <v>0</v>
      </c>
      <c r="C35" s="398">
        <v>0</v>
      </c>
      <c r="D35" s="398">
        <v>0</v>
      </c>
      <c r="E35" s="398">
        <v>0</v>
      </c>
      <c r="F35" s="509">
        <v>0</v>
      </c>
      <c r="G35" s="509">
        <v>34335000</v>
      </c>
      <c r="H35" s="509">
        <v>34335000</v>
      </c>
      <c r="I35" s="509"/>
      <c r="J35" s="510"/>
      <c r="K35" s="511"/>
      <c r="L35" s="511"/>
      <c r="M35" s="511"/>
      <c r="N35" s="511">
        <f t="shared" si="6"/>
        <v>34335000</v>
      </c>
      <c r="O35" s="511">
        <v>25677518</v>
      </c>
      <c r="P35" s="443">
        <f t="shared" si="5"/>
        <v>-8657482</v>
      </c>
      <c r="Q35" s="452">
        <f t="shared" si="1"/>
        <v>0.7478525702635794</v>
      </c>
      <c r="R35" s="445"/>
    </row>
    <row r="36" spans="1:18" ht="15.75" customHeight="1">
      <c r="A36" s="439" t="s">
        <v>253</v>
      </c>
      <c r="B36" s="514">
        <f aca="true" t="shared" si="7" ref="B36:H36">SUM(B22:B35)</f>
        <v>116707552.0332</v>
      </c>
      <c r="C36" s="514">
        <f t="shared" si="7"/>
        <v>36261350.488800004</v>
      </c>
      <c r="D36" s="514">
        <f t="shared" si="7"/>
        <v>289864264.5068</v>
      </c>
      <c r="E36" s="514">
        <f t="shared" si="7"/>
        <v>39892342.0556</v>
      </c>
      <c r="F36" s="514">
        <f t="shared" si="7"/>
        <v>482725509.0844</v>
      </c>
      <c r="G36" s="514">
        <f t="shared" si="7"/>
        <v>363531089.6408</v>
      </c>
      <c r="H36" s="514">
        <f t="shared" si="7"/>
        <v>846256598.7251999</v>
      </c>
      <c r="I36" s="514"/>
      <c r="J36" s="515"/>
      <c r="K36" s="506">
        <f>SUM(K22:K35)</f>
        <v>-7942063</v>
      </c>
      <c r="L36" s="506">
        <f>SUM(L22:L35)</f>
        <v>0</v>
      </c>
      <c r="M36" s="506">
        <f>SUM(M22:M35)</f>
        <v>7982101</v>
      </c>
      <c r="N36" s="506">
        <f>SUM(H36:M36)</f>
        <v>846296636.7251999</v>
      </c>
      <c r="O36" s="506">
        <f>SUM(O22:O35)</f>
        <v>749779460.088</v>
      </c>
      <c r="P36" s="442">
        <f>SUM(P22:P35)</f>
        <v>-96517176.6372</v>
      </c>
      <c r="Q36" s="452">
        <f t="shared" si="1"/>
        <v>0.8859534914250878</v>
      </c>
      <c r="R36" s="445"/>
    </row>
    <row r="37" spans="1:18" s="376" customFormat="1" ht="15.75" customHeight="1">
      <c r="A37" s="439" t="s">
        <v>254</v>
      </c>
      <c r="B37" s="514">
        <f aca="true" t="shared" si="8" ref="B37:H37">+B36+B20</f>
        <v>1020922830.2876763</v>
      </c>
      <c r="C37" s="514">
        <f t="shared" si="8"/>
        <v>238279531.46216726</v>
      </c>
      <c r="D37" s="514">
        <f t="shared" si="8"/>
        <v>1195401849.123362</v>
      </c>
      <c r="E37" s="514">
        <f t="shared" si="8"/>
        <v>280257545.6592474</v>
      </c>
      <c r="F37" s="514">
        <f t="shared" si="8"/>
        <v>2734861756.532453</v>
      </c>
      <c r="G37" s="514">
        <f t="shared" si="8"/>
        <v>601674108.8670828</v>
      </c>
      <c r="H37" s="514">
        <f t="shared" si="8"/>
        <v>3336535865.399536</v>
      </c>
      <c r="I37" s="514"/>
      <c r="J37" s="515">
        <f>+J36+J20</f>
        <v>-93392973</v>
      </c>
      <c r="K37" s="506">
        <f>+K36+K20</f>
        <v>-26857336</v>
      </c>
      <c r="L37" s="506">
        <f>+L36+L20</f>
        <v>0</v>
      </c>
      <c r="M37" s="506">
        <f>+M36+M20</f>
        <v>0</v>
      </c>
      <c r="N37" s="506">
        <f>SUM(H37:M37)</f>
        <v>3216285556.399536</v>
      </c>
      <c r="O37" s="506">
        <f>+O36+O20</f>
        <v>2956589638.0880003</v>
      </c>
      <c r="P37" s="442">
        <f>+P36+P20</f>
        <v>-259695918.311536</v>
      </c>
      <c r="Q37" s="452">
        <f t="shared" si="1"/>
        <v>0.9192559510784696</v>
      </c>
      <c r="R37" s="445"/>
    </row>
    <row r="38" spans="1:18" ht="15.75" customHeight="1">
      <c r="A38" s="516"/>
      <c r="B38" s="500"/>
      <c r="C38" s="500"/>
      <c r="D38" s="500"/>
      <c r="E38" s="500"/>
      <c r="F38" s="500"/>
      <c r="G38" s="500"/>
      <c r="H38" s="500"/>
      <c r="I38" s="500"/>
      <c r="J38" s="501"/>
      <c r="K38" s="517"/>
      <c r="L38" s="502"/>
      <c r="M38" s="502"/>
      <c r="N38" s="502"/>
      <c r="O38" s="502"/>
      <c r="P38" s="441"/>
      <c r="Q38" s="452"/>
      <c r="R38" s="445"/>
    </row>
    <row r="39" spans="1:18" ht="15.75" customHeight="1">
      <c r="A39" s="439" t="s">
        <v>17</v>
      </c>
      <c r="B39" s="514">
        <f>+B41</f>
        <v>3004326552.7281823</v>
      </c>
      <c r="C39" s="514">
        <f>+C112</f>
        <v>680455080</v>
      </c>
      <c r="D39" s="514">
        <f>+D139</f>
        <v>4751647842.119829</v>
      </c>
      <c r="E39" s="514">
        <f>+E70</f>
        <v>2862575003.9334</v>
      </c>
      <c r="F39" s="514">
        <f>+F41+F70+F112+F139</f>
        <v>11299004478.781412</v>
      </c>
      <c r="G39" s="514">
        <v>0</v>
      </c>
      <c r="H39" s="514">
        <f>F39+G39</f>
        <v>11299004478.781412</v>
      </c>
      <c r="I39" s="514">
        <f>+I41</f>
        <v>30000000</v>
      </c>
      <c r="J39" s="515">
        <f>+J41+J70+J112+J139+J170</f>
        <v>-471204679</v>
      </c>
      <c r="K39" s="506">
        <f>+K41+K70+K112+K139</f>
        <v>-50430509</v>
      </c>
      <c r="L39" s="506">
        <f>+L41+L70+L112+L139</f>
        <v>-106019498</v>
      </c>
      <c r="M39" s="506">
        <f>+M41+M70+M112+M139</f>
        <v>386303786</v>
      </c>
      <c r="N39" s="506">
        <f>SUM(H39:M39)</f>
        <v>11087653578.781412</v>
      </c>
      <c r="O39" s="506">
        <f>+O41+O70+O112+O139</f>
        <v>10586538320.16</v>
      </c>
      <c r="P39" s="442">
        <f>+P41+P64+P111+P141</f>
        <v>-263885977.18801165</v>
      </c>
      <c r="Q39" s="452">
        <f t="shared" si="1"/>
        <v>0.9548042103713987</v>
      </c>
      <c r="R39" s="445"/>
    </row>
    <row r="40" spans="1:18" ht="15.75" customHeight="1">
      <c r="A40" s="516"/>
      <c r="B40" s="500"/>
      <c r="C40" s="500"/>
      <c r="D40" s="500"/>
      <c r="E40" s="500"/>
      <c r="F40" s="509"/>
      <c r="G40" s="500"/>
      <c r="H40" s="500"/>
      <c r="I40" s="500"/>
      <c r="J40" s="501"/>
      <c r="K40" s="513"/>
      <c r="L40" s="511"/>
      <c r="M40" s="511"/>
      <c r="N40" s="511"/>
      <c r="O40" s="511"/>
      <c r="P40" s="441"/>
      <c r="Q40" s="452"/>
      <c r="R40" s="445"/>
    </row>
    <row r="41" spans="1:18" ht="15.75" customHeight="1">
      <c r="A41" s="431" t="s">
        <v>9</v>
      </c>
      <c r="B41" s="397">
        <f>+B42+B53+B58+B63</f>
        <v>3004326552.7281823</v>
      </c>
      <c r="C41" s="514"/>
      <c r="D41" s="514"/>
      <c r="E41" s="518"/>
      <c r="F41" s="514">
        <f aca="true" t="shared" si="9" ref="F41:F57">+B41+C41+D41+E41</f>
        <v>3004326552.7281823</v>
      </c>
      <c r="G41" s="518"/>
      <c r="H41" s="514">
        <f aca="true" t="shared" si="10" ref="H41:H57">F41+G41</f>
        <v>3004326552.7281823</v>
      </c>
      <c r="I41" s="514">
        <f>+I63</f>
        <v>30000000</v>
      </c>
      <c r="J41" s="515">
        <f>+J42+J53+J58+J63</f>
        <v>-556281159</v>
      </c>
      <c r="K41" s="519">
        <f>+K42+K53+K58+K63</f>
        <v>-408782572</v>
      </c>
      <c r="L41" s="520">
        <v>0</v>
      </c>
      <c r="M41" s="520">
        <v>0</v>
      </c>
      <c r="N41" s="520">
        <f aca="true" t="shared" si="11" ref="N41:N63">SUM(H41:M41)</f>
        <v>2069262821.7281823</v>
      </c>
      <c r="O41" s="520">
        <f>+O42+O53+O58+O63</f>
        <v>1992287432.8600006</v>
      </c>
      <c r="P41" s="397">
        <f>+O41-N41</f>
        <v>-76975388.8681817</v>
      </c>
      <c r="Q41" s="452">
        <f t="shared" si="1"/>
        <v>0.9628005741658788</v>
      </c>
      <c r="R41" s="445"/>
    </row>
    <row r="42" spans="1:18" s="373" customFormat="1" ht="15.75" customHeight="1">
      <c r="A42" s="432" t="s">
        <v>272</v>
      </c>
      <c r="B42" s="514">
        <f>+B43+B46+B49+B50+B51+B52</f>
        <v>2260494815.4841824</v>
      </c>
      <c r="C42" s="518"/>
      <c r="D42" s="518"/>
      <c r="E42" s="518"/>
      <c r="F42" s="514">
        <f t="shared" si="9"/>
        <v>2260494815.4841824</v>
      </c>
      <c r="G42" s="518"/>
      <c r="H42" s="514">
        <f t="shared" si="10"/>
        <v>2260494815.4841824</v>
      </c>
      <c r="I42" s="514"/>
      <c r="J42" s="515">
        <f>SUM(J43+J46+J49+J50+J51+J52)</f>
        <v>-566281159</v>
      </c>
      <c r="K42" s="506">
        <f>+K43+K46+K49+K50+K51+K52</f>
        <v>-396131389</v>
      </c>
      <c r="L42" s="507"/>
      <c r="M42" s="507"/>
      <c r="N42" s="507">
        <f t="shared" si="11"/>
        <v>1298082267.4841824</v>
      </c>
      <c r="O42" s="507">
        <f>+O43+SUM(O46:O52)</f>
        <v>1264419037.0000005</v>
      </c>
      <c r="P42" s="397">
        <f>+O42-N42</f>
        <v>-33663230.48418188</v>
      </c>
      <c r="Q42" s="452">
        <f t="shared" si="1"/>
        <v>0.974066951434885</v>
      </c>
      <c r="R42" s="445"/>
    </row>
    <row r="43" spans="1:18" s="373" customFormat="1" ht="15.75" customHeight="1" hidden="1" outlineLevel="1">
      <c r="A43" s="692" t="s">
        <v>465</v>
      </c>
      <c r="B43" s="504">
        <f>+B44+B45</f>
        <v>1231204407.7193222</v>
      </c>
      <c r="C43" s="518"/>
      <c r="D43" s="518"/>
      <c r="E43" s="518"/>
      <c r="F43" s="514">
        <f t="shared" si="9"/>
        <v>1231204407.7193222</v>
      </c>
      <c r="G43" s="518"/>
      <c r="H43" s="514">
        <f t="shared" si="10"/>
        <v>1231204407.7193222</v>
      </c>
      <c r="I43" s="512"/>
      <c r="J43" s="521"/>
      <c r="K43" s="506">
        <f>+K44+K45</f>
        <v>-184131389</v>
      </c>
      <c r="L43" s="507"/>
      <c r="M43" s="507"/>
      <c r="N43" s="507">
        <f t="shared" si="11"/>
        <v>1047073018.7193222</v>
      </c>
      <c r="O43" s="507">
        <f>+O44+O45</f>
        <v>1016755449.0000005</v>
      </c>
      <c r="P43" s="397">
        <f>+N43-O43</f>
        <v>30317569.719321728</v>
      </c>
      <c r="Q43" s="452">
        <f>+O43/N43</f>
        <v>0.9710454102270697</v>
      </c>
      <c r="R43" s="445"/>
    </row>
    <row r="44" spans="1:18" s="373" customFormat="1" ht="15.75" customHeight="1" hidden="1" outlineLevel="2">
      <c r="A44" s="692" t="s">
        <v>512</v>
      </c>
      <c r="B44" s="512">
        <v>775658776.863173</v>
      </c>
      <c r="C44" s="518"/>
      <c r="D44" s="518"/>
      <c r="E44" s="518"/>
      <c r="F44" s="512">
        <f t="shared" si="9"/>
        <v>775658776.863173</v>
      </c>
      <c r="G44" s="518"/>
      <c r="H44" s="512">
        <f t="shared" si="10"/>
        <v>775658776.863173</v>
      </c>
      <c r="I44" s="512"/>
      <c r="J44" s="521"/>
      <c r="K44" s="511">
        <v>-103790153</v>
      </c>
      <c r="L44" s="511"/>
      <c r="M44" s="511"/>
      <c r="N44" s="511">
        <f t="shared" si="11"/>
        <v>671868623.863173</v>
      </c>
      <c r="O44" s="511">
        <v>654679167.8000002</v>
      </c>
      <c r="P44" s="443">
        <f>+O44-N44</f>
        <v>-17189456.063172817</v>
      </c>
      <c r="Q44" s="452">
        <f t="shared" si="1"/>
        <v>0.9744154505023092</v>
      </c>
      <c r="R44" s="445"/>
    </row>
    <row r="45" spans="1:18" s="373" customFormat="1" ht="15.75" customHeight="1" hidden="1" outlineLevel="2">
      <c r="A45" s="692" t="s">
        <v>513</v>
      </c>
      <c r="B45" s="512">
        <v>455545630.8561492</v>
      </c>
      <c r="C45" s="518"/>
      <c r="D45" s="518"/>
      <c r="E45" s="518"/>
      <c r="F45" s="512">
        <f t="shared" si="9"/>
        <v>455545630.8561492</v>
      </c>
      <c r="G45" s="518"/>
      <c r="H45" s="512">
        <f t="shared" si="10"/>
        <v>455545630.8561492</v>
      </c>
      <c r="I45" s="512"/>
      <c r="J45" s="521"/>
      <c r="K45" s="511">
        <v>-80341236</v>
      </c>
      <c r="L45" s="511"/>
      <c r="M45" s="511"/>
      <c r="N45" s="511">
        <f t="shared" si="11"/>
        <v>375204394.8561492</v>
      </c>
      <c r="O45" s="511">
        <v>362076281.2000002</v>
      </c>
      <c r="P45" s="443">
        <f>+O45-N45</f>
        <v>-13128113.65614897</v>
      </c>
      <c r="Q45" s="452">
        <f t="shared" si="1"/>
        <v>0.9650107679011004</v>
      </c>
      <c r="R45" s="445"/>
    </row>
    <row r="46" spans="1:18" s="373" customFormat="1" ht="15.75" customHeight="1" hidden="1" outlineLevel="1">
      <c r="A46" s="692" t="s">
        <v>467</v>
      </c>
      <c r="B46" s="504">
        <f>+B47+B48</f>
        <v>768281159.0802602</v>
      </c>
      <c r="C46" s="518"/>
      <c r="D46" s="518"/>
      <c r="E46" s="518"/>
      <c r="F46" s="514">
        <f t="shared" si="9"/>
        <v>768281159.0802602</v>
      </c>
      <c r="G46" s="518"/>
      <c r="H46" s="514">
        <f t="shared" si="10"/>
        <v>768281159.0802602</v>
      </c>
      <c r="I46" s="512"/>
      <c r="J46" s="521">
        <f>+J47+J48</f>
        <v>-556281159</v>
      </c>
      <c r="K46" s="506">
        <f>+K47+K48</f>
        <v>-212000000</v>
      </c>
      <c r="L46" s="507"/>
      <c r="M46" s="507"/>
      <c r="N46" s="507">
        <f t="shared" si="11"/>
        <v>0.08026015758514404</v>
      </c>
      <c r="O46" s="507">
        <v>0</v>
      </c>
      <c r="P46" s="397">
        <f>+N46-O46</f>
        <v>0.08026015758514404</v>
      </c>
      <c r="Q46" s="452">
        <f t="shared" si="1"/>
        <v>0</v>
      </c>
      <c r="R46" s="445"/>
    </row>
    <row r="47" spans="1:18" s="373" customFormat="1" ht="15.75" customHeight="1" hidden="1" outlineLevel="2">
      <c r="A47" s="692" t="s">
        <v>512</v>
      </c>
      <c r="B47" s="512">
        <v>614624927.2642082</v>
      </c>
      <c r="C47" s="518"/>
      <c r="D47" s="518"/>
      <c r="E47" s="518"/>
      <c r="F47" s="512">
        <f t="shared" si="9"/>
        <v>614624927.2642082</v>
      </c>
      <c r="G47" s="518"/>
      <c r="H47" s="512">
        <f t="shared" si="10"/>
        <v>614624927.2642082</v>
      </c>
      <c r="I47" s="512"/>
      <c r="J47" s="521">
        <v>-445024927</v>
      </c>
      <c r="K47" s="511">
        <v>-169600000</v>
      </c>
      <c r="L47" s="511"/>
      <c r="M47" s="511"/>
      <c r="N47" s="511">
        <f t="shared" si="11"/>
        <v>0.26420819759368896</v>
      </c>
      <c r="O47" s="511">
        <v>0</v>
      </c>
      <c r="P47" s="443">
        <f aca="true" t="shared" si="12" ref="P47:P53">+O47-N47</f>
        <v>-0.26420819759368896</v>
      </c>
      <c r="Q47" s="452">
        <f t="shared" si="1"/>
        <v>0</v>
      </c>
      <c r="R47" s="445"/>
    </row>
    <row r="48" spans="1:18" s="373" customFormat="1" ht="15.75" customHeight="1" hidden="1" outlineLevel="2">
      <c r="A48" s="692" t="s">
        <v>513</v>
      </c>
      <c r="B48" s="512">
        <v>153656231.81605196</v>
      </c>
      <c r="C48" s="518"/>
      <c r="D48" s="518"/>
      <c r="E48" s="518"/>
      <c r="F48" s="512">
        <f t="shared" si="9"/>
        <v>153656231.81605196</v>
      </c>
      <c r="G48" s="518"/>
      <c r="H48" s="512">
        <f t="shared" si="10"/>
        <v>153656231.81605196</v>
      </c>
      <c r="I48" s="512"/>
      <c r="J48" s="521">
        <v>-111256232</v>
      </c>
      <c r="K48" s="511">
        <v>-42400000</v>
      </c>
      <c r="L48" s="511"/>
      <c r="M48" s="511"/>
      <c r="N48" s="511">
        <f t="shared" si="11"/>
        <v>-0.18394804000854492</v>
      </c>
      <c r="O48" s="511">
        <v>0</v>
      </c>
      <c r="P48" s="443">
        <f t="shared" si="12"/>
        <v>0.18394804000854492</v>
      </c>
      <c r="Q48" s="452">
        <f t="shared" si="1"/>
        <v>0</v>
      </c>
      <c r="R48" s="445"/>
    </row>
    <row r="49" spans="1:18" s="373" customFormat="1" ht="15.75" customHeight="1" hidden="1" outlineLevel="1">
      <c r="A49" s="396" t="s">
        <v>279</v>
      </c>
      <c r="B49" s="522">
        <f>142005599.4356-6000000+1300000+1750000+105151</f>
        <v>139160750.4356</v>
      </c>
      <c r="C49" s="518"/>
      <c r="D49" s="518"/>
      <c r="E49" s="518"/>
      <c r="F49" s="512">
        <f t="shared" si="9"/>
        <v>139160750.4356</v>
      </c>
      <c r="G49" s="518"/>
      <c r="H49" s="512">
        <f t="shared" si="10"/>
        <v>139160750.4356</v>
      </c>
      <c r="I49" s="512"/>
      <c r="J49" s="521">
        <v>-10000000</v>
      </c>
      <c r="K49" s="511"/>
      <c r="L49" s="511"/>
      <c r="M49" s="511"/>
      <c r="N49" s="511">
        <f t="shared" si="11"/>
        <v>129160750.43560001</v>
      </c>
      <c r="O49" s="511">
        <v>129160750</v>
      </c>
      <c r="P49" s="443">
        <f t="shared" si="12"/>
        <v>-0.43560001254081726</v>
      </c>
      <c r="Q49" s="452">
        <f t="shared" si="1"/>
        <v>0.9999999966274583</v>
      </c>
      <c r="R49" s="445"/>
    </row>
    <row r="50" spans="1:18" s="373" customFormat="1" ht="15.75" customHeight="1" hidden="1" outlineLevel="1">
      <c r="A50" s="396" t="s">
        <v>280</v>
      </c>
      <c r="B50" s="522">
        <f>73403649.249-1300000-1750000-105151</f>
        <v>70248498.249</v>
      </c>
      <c r="C50" s="514"/>
      <c r="D50" s="518"/>
      <c r="E50" s="518"/>
      <c r="F50" s="512">
        <f t="shared" si="9"/>
        <v>70248498.249</v>
      </c>
      <c r="G50" s="518"/>
      <c r="H50" s="512">
        <f t="shared" si="10"/>
        <v>70248498.249</v>
      </c>
      <c r="I50" s="512"/>
      <c r="J50" s="521"/>
      <c r="K50" s="511"/>
      <c r="L50" s="511"/>
      <c r="M50" s="511"/>
      <c r="N50" s="511">
        <f t="shared" si="11"/>
        <v>70248498.249</v>
      </c>
      <c r="O50" s="511">
        <v>69261989</v>
      </c>
      <c r="P50" s="443">
        <f t="shared" si="12"/>
        <v>-986509.248999998</v>
      </c>
      <c r="Q50" s="452">
        <f t="shared" si="1"/>
        <v>0.9859568635118254</v>
      </c>
      <c r="R50" s="445"/>
    </row>
    <row r="51" spans="1:18" s="373" customFormat="1" ht="15.75" customHeight="1" hidden="1" outlineLevel="1">
      <c r="A51" s="396" t="s">
        <v>281</v>
      </c>
      <c r="B51" s="523">
        <f>40100000+1812160+6000000</f>
        <v>47912160</v>
      </c>
      <c r="C51" s="518"/>
      <c r="D51" s="518"/>
      <c r="E51" s="518"/>
      <c r="F51" s="512">
        <f t="shared" si="9"/>
        <v>47912160</v>
      </c>
      <c r="G51" s="518"/>
      <c r="H51" s="512">
        <f t="shared" si="10"/>
        <v>47912160</v>
      </c>
      <c r="I51" s="512"/>
      <c r="J51" s="521"/>
      <c r="K51" s="511"/>
      <c r="L51" s="511"/>
      <c r="M51" s="511"/>
      <c r="N51" s="511">
        <f t="shared" si="11"/>
        <v>47912160</v>
      </c>
      <c r="O51" s="511">
        <v>45553009</v>
      </c>
      <c r="P51" s="443">
        <f t="shared" si="12"/>
        <v>-2359151</v>
      </c>
      <c r="Q51" s="452">
        <f t="shared" si="1"/>
        <v>0.9507609133046809</v>
      </c>
      <c r="R51" s="445"/>
    </row>
    <row r="52" spans="1:18" s="373" customFormat="1" ht="15.75" customHeight="1" hidden="1" outlineLevel="1">
      <c r="A52" s="396" t="s">
        <v>468</v>
      </c>
      <c r="B52" s="523">
        <f>5500000-1812160</f>
        <v>3687840</v>
      </c>
      <c r="C52" s="518"/>
      <c r="D52" s="518"/>
      <c r="E52" s="518"/>
      <c r="F52" s="512">
        <f t="shared" si="9"/>
        <v>3687840</v>
      </c>
      <c r="G52" s="518"/>
      <c r="H52" s="512">
        <f t="shared" si="10"/>
        <v>3687840</v>
      </c>
      <c r="I52" s="512"/>
      <c r="J52" s="521"/>
      <c r="K52" s="511"/>
      <c r="L52" s="511"/>
      <c r="M52" s="511"/>
      <c r="N52" s="511">
        <f t="shared" si="11"/>
        <v>3687840</v>
      </c>
      <c r="O52" s="511">
        <v>3687840</v>
      </c>
      <c r="P52" s="443">
        <f t="shared" si="12"/>
        <v>0</v>
      </c>
      <c r="Q52" s="452">
        <f t="shared" si="1"/>
        <v>1</v>
      </c>
      <c r="R52" s="445"/>
    </row>
    <row r="53" spans="1:18" s="373" customFormat="1" ht="15.75" customHeight="1" collapsed="1">
      <c r="A53" s="432" t="s">
        <v>10</v>
      </c>
      <c r="B53" s="514">
        <f>SUM(B54:B57)</f>
        <v>150344432.56</v>
      </c>
      <c r="C53" s="518"/>
      <c r="D53" s="518"/>
      <c r="E53" s="518"/>
      <c r="F53" s="514">
        <f t="shared" si="9"/>
        <v>150344432.56</v>
      </c>
      <c r="G53" s="518"/>
      <c r="H53" s="514">
        <f t="shared" si="10"/>
        <v>150344432.56</v>
      </c>
      <c r="I53" s="514"/>
      <c r="J53" s="515"/>
      <c r="K53" s="506">
        <f>SUM(K54:K57)</f>
        <v>0</v>
      </c>
      <c r="L53" s="507"/>
      <c r="M53" s="507"/>
      <c r="N53" s="507">
        <f t="shared" si="11"/>
        <v>150344432.56</v>
      </c>
      <c r="O53" s="507">
        <f>SUM(O54:O57)</f>
        <v>140130359.86</v>
      </c>
      <c r="P53" s="397">
        <f t="shared" si="12"/>
        <v>-10214072.699999988</v>
      </c>
      <c r="Q53" s="452">
        <f t="shared" si="1"/>
        <v>0.9320621819772161</v>
      </c>
      <c r="R53" s="445"/>
    </row>
    <row r="54" spans="1:18" s="373" customFormat="1" ht="15.75" customHeight="1" hidden="1" outlineLevel="1">
      <c r="A54" s="438" t="s">
        <v>273</v>
      </c>
      <c r="B54" s="509">
        <v>33989152.56</v>
      </c>
      <c r="C54" s="518"/>
      <c r="D54" s="518"/>
      <c r="E54" s="518"/>
      <c r="F54" s="512">
        <f t="shared" si="9"/>
        <v>33989152.56</v>
      </c>
      <c r="G54" s="518"/>
      <c r="H54" s="512">
        <f t="shared" si="10"/>
        <v>33989152.56</v>
      </c>
      <c r="I54" s="512"/>
      <c r="J54" s="521"/>
      <c r="K54" s="511"/>
      <c r="L54" s="511"/>
      <c r="M54" s="511"/>
      <c r="N54" s="511">
        <f t="shared" si="11"/>
        <v>33989152.56</v>
      </c>
      <c r="O54" s="511">
        <v>33989152</v>
      </c>
      <c r="P54" s="443">
        <f>+O54-N54</f>
        <v>-0.5600000023841858</v>
      </c>
      <c r="Q54" s="452">
        <f t="shared" si="1"/>
        <v>0.9999999835241552</v>
      </c>
      <c r="R54" s="445"/>
    </row>
    <row r="55" spans="1:18" s="373" customFormat="1" ht="15.75" customHeight="1" hidden="1" outlineLevel="1">
      <c r="A55" s="438" t="s">
        <v>274</v>
      </c>
      <c r="B55" s="509">
        <v>15649640</v>
      </c>
      <c r="C55" s="518"/>
      <c r="D55" s="518"/>
      <c r="E55" s="518"/>
      <c r="F55" s="512">
        <f t="shared" si="9"/>
        <v>15649640</v>
      </c>
      <c r="G55" s="518"/>
      <c r="H55" s="512">
        <f t="shared" si="10"/>
        <v>15649640</v>
      </c>
      <c r="I55" s="512"/>
      <c r="J55" s="521"/>
      <c r="K55" s="511"/>
      <c r="L55" s="511"/>
      <c r="M55" s="511"/>
      <c r="N55" s="511">
        <f t="shared" si="11"/>
        <v>15649640</v>
      </c>
      <c r="O55" s="511">
        <v>12738225.86</v>
      </c>
      <c r="P55" s="443">
        <f>+O55-N55</f>
        <v>-2911414.1400000006</v>
      </c>
      <c r="Q55" s="452">
        <f t="shared" si="1"/>
        <v>0.8139628681554336</v>
      </c>
      <c r="R55" s="445"/>
    </row>
    <row r="56" spans="1:18" s="373" customFormat="1" ht="15.75" customHeight="1" hidden="1" outlineLevel="1">
      <c r="A56" s="438" t="s">
        <v>385</v>
      </c>
      <c r="B56" s="509">
        <v>58705640</v>
      </c>
      <c r="C56" s="518"/>
      <c r="D56" s="518"/>
      <c r="E56" s="518"/>
      <c r="F56" s="512">
        <f t="shared" si="9"/>
        <v>58705640</v>
      </c>
      <c r="G56" s="518"/>
      <c r="H56" s="512">
        <f t="shared" si="10"/>
        <v>58705640</v>
      </c>
      <c r="I56" s="512"/>
      <c r="J56" s="521"/>
      <c r="K56" s="511"/>
      <c r="L56" s="511"/>
      <c r="M56" s="511"/>
      <c r="N56" s="511">
        <f t="shared" si="11"/>
        <v>58705640</v>
      </c>
      <c r="O56" s="511">
        <v>52919649</v>
      </c>
      <c r="P56" s="443">
        <f>+O56-N56</f>
        <v>-5785991</v>
      </c>
      <c r="Q56" s="452">
        <f>+O56/N56</f>
        <v>0.9014406281917717</v>
      </c>
      <c r="R56" s="445"/>
    </row>
    <row r="57" spans="1:18" s="373" customFormat="1" ht="15.75" customHeight="1" hidden="1" outlineLevel="1">
      <c r="A57" s="438" t="s">
        <v>386</v>
      </c>
      <c r="B57" s="509">
        <v>42000000</v>
      </c>
      <c r="C57" s="518"/>
      <c r="D57" s="518"/>
      <c r="E57" s="518"/>
      <c r="F57" s="512">
        <f t="shared" si="9"/>
        <v>42000000</v>
      </c>
      <c r="G57" s="518"/>
      <c r="H57" s="512">
        <f t="shared" si="10"/>
        <v>42000000</v>
      </c>
      <c r="I57" s="512"/>
      <c r="J57" s="521"/>
      <c r="K57" s="511"/>
      <c r="L57" s="511"/>
      <c r="M57" s="511"/>
      <c r="N57" s="511">
        <f t="shared" si="11"/>
        <v>42000000</v>
      </c>
      <c r="O57" s="511">
        <v>40483333</v>
      </c>
      <c r="P57" s="443">
        <f>+O57-N57</f>
        <v>-1516667</v>
      </c>
      <c r="Q57" s="452">
        <f t="shared" si="1"/>
        <v>0.9638888809523809</v>
      </c>
      <c r="R57" s="445"/>
    </row>
    <row r="58" spans="1:18" s="373" customFormat="1" ht="15.75" customHeight="1" collapsed="1">
      <c r="A58" s="432" t="s">
        <v>154</v>
      </c>
      <c r="B58" s="514">
        <f>SUM(B59:B62)</f>
        <v>263747372.68400002</v>
      </c>
      <c r="C58" s="524"/>
      <c r="D58" s="509"/>
      <c r="E58" s="514"/>
      <c r="F58" s="504">
        <f aca="true" t="shared" si="13" ref="F58:F67">+E58+D58+C58+B58</f>
        <v>263747372.68400002</v>
      </c>
      <c r="G58" s="525"/>
      <c r="H58" s="504">
        <f aca="true" t="shared" si="14" ref="H58:H67">+G58+F58</f>
        <v>263747372.68400002</v>
      </c>
      <c r="I58" s="504"/>
      <c r="J58" s="505">
        <f>SUM(J59:J62)</f>
        <v>10000000</v>
      </c>
      <c r="K58" s="506">
        <f>SUM(K59:K62)</f>
        <v>-3404715</v>
      </c>
      <c r="L58" s="507"/>
      <c r="M58" s="507"/>
      <c r="N58" s="507">
        <f t="shared" si="11"/>
        <v>270342657.684</v>
      </c>
      <c r="O58" s="507">
        <f>+SUM(O59:O62)</f>
        <v>268004387</v>
      </c>
      <c r="P58" s="397">
        <f aca="true" t="shared" si="15" ref="P58:P68">+O58-N58</f>
        <v>-2338270.6840000153</v>
      </c>
      <c r="Q58" s="452">
        <f t="shared" si="1"/>
        <v>0.9913507150368656</v>
      </c>
      <c r="R58" s="445"/>
    </row>
    <row r="59" spans="1:18" s="373" customFormat="1" ht="15.75" customHeight="1" hidden="1" outlineLevel="1">
      <c r="A59" s="437" t="s">
        <v>266</v>
      </c>
      <c r="B59" s="509">
        <v>88601669.8672</v>
      </c>
      <c r="C59" s="500"/>
      <c r="D59" s="500"/>
      <c r="E59" s="509"/>
      <c r="F59" s="512">
        <f t="shared" si="13"/>
        <v>88601669.8672</v>
      </c>
      <c r="G59" s="526"/>
      <c r="H59" s="512">
        <f>F59+G59</f>
        <v>88601669.8672</v>
      </c>
      <c r="I59" s="509"/>
      <c r="J59" s="510"/>
      <c r="K59" s="511"/>
      <c r="L59" s="511"/>
      <c r="M59" s="511"/>
      <c r="N59" s="511">
        <f t="shared" si="11"/>
        <v>88601669.8672</v>
      </c>
      <c r="O59" s="511">
        <v>88210820</v>
      </c>
      <c r="P59" s="443">
        <f t="shared" si="15"/>
        <v>-390849.8672000021</v>
      </c>
      <c r="Q59" s="452">
        <f t="shared" si="1"/>
        <v>0.9955886850915358</v>
      </c>
      <c r="R59" s="445"/>
    </row>
    <row r="60" spans="1:18" s="373" customFormat="1" ht="15.75" customHeight="1" hidden="1" outlineLevel="1">
      <c r="A60" s="437" t="s">
        <v>282</v>
      </c>
      <c r="B60" s="509">
        <v>33029306.8168</v>
      </c>
      <c r="C60" s="500"/>
      <c r="D60" s="500"/>
      <c r="E60" s="509"/>
      <c r="F60" s="512">
        <f t="shared" si="13"/>
        <v>33029306.8168</v>
      </c>
      <c r="G60" s="526"/>
      <c r="H60" s="512">
        <f>F60+G60</f>
        <v>33029306.8168</v>
      </c>
      <c r="I60" s="509"/>
      <c r="J60" s="510"/>
      <c r="K60" s="511">
        <v>-3404715</v>
      </c>
      <c r="L60" s="511"/>
      <c r="M60" s="511"/>
      <c r="N60" s="511">
        <f t="shared" si="11"/>
        <v>29624591.8168</v>
      </c>
      <c r="O60" s="511">
        <v>29624592</v>
      </c>
      <c r="P60" s="443">
        <f t="shared" si="15"/>
        <v>0.18320000171661377</v>
      </c>
      <c r="Q60" s="452">
        <f t="shared" si="1"/>
        <v>1.0000000061840515</v>
      </c>
      <c r="R60" s="445"/>
    </row>
    <row r="61" spans="1:18" s="373" customFormat="1" ht="15.75" customHeight="1" hidden="1" outlineLevel="1">
      <c r="A61" s="437" t="s">
        <v>387</v>
      </c>
      <c r="B61" s="509">
        <v>42116396</v>
      </c>
      <c r="C61" s="500"/>
      <c r="D61" s="500"/>
      <c r="E61" s="509"/>
      <c r="F61" s="512">
        <f t="shared" si="13"/>
        <v>42116396</v>
      </c>
      <c r="G61" s="526"/>
      <c r="H61" s="512">
        <f>F61+G61</f>
        <v>42116396</v>
      </c>
      <c r="I61" s="509"/>
      <c r="J61" s="510">
        <v>10000000</v>
      </c>
      <c r="K61" s="511"/>
      <c r="L61" s="511"/>
      <c r="M61" s="511"/>
      <c r="N61" s="511">
        <f t="shared" si="11"/>
        <v>52116396</v>
      </c>
      <c r="O61" s="511">
        <v>50169415</v>
      </c>
      <c r="P61" s="443">
        <f t="shared" si="15"/>
        <v>-1946981</v>
      </c>
      <c r="Q61" s="452">
        <f t="shared" si="1"/>
        <v>0.9626416799810946</v>
      </c>
      <c r="R61" s="445"/>
    </row>
    <row r="62" spans="1:18" s="373" customFormat="1" ht="15.75" customHeight="1" hidden="1" outlineLevel="1">
      <c r="A62" s="437" t="s">
        <v>388</v>
      </c>
      <c r="B62" s="509">
        <v>100000000</v>
      </c>
      <c r="C62" s="500"/>
      <c r="D62" s="500"/>
      <c r="E62" s="509"/>
      <c r="F62" s="512">
        <f t="shared" si="13"/>
        <v>100000000</v>
      </c>
      <c r="G62" s="526"/>
      <c r="H62" s="512">
        <f>F62+G62</f>
        <v>100000000</v>
      </c>
      <c r="I62" s="509"/>
      <c r="J62" s="510"/>
      <c r="K62" s="511"/>
      <c r="L62" s="511"/>
      <c r="M62" s="511"/>
      <c r="N62" s="511">
        <f t="shared" si="11"/>
        <v>100000000</v>
      </c>
      <c r="O62" s="511">
        <v>99999560</v>
      </c>
      <c r="P62" s="443">
        <f t="shared" si="15"/>
        <v>-440</v>
      </c>
      <c r="Q62" s="452">
        <f t="shared" si="1"/>
        <v>0.9999956</v>
      </c>
      <c r="R62" s="445"/>
    </row>
    <row r="63" spans="1:18" s="373" customFormat="1" ht="15.75" customHeight="1" collapsed="1">
      <c r="A63" s="432" t="s">
        <v>157</v>
      </c>
      <c r="B63" s="504">
        <f>SUM(B64:B68)</f>
        <v>329739932</v>
      </c>
      <c r="C63" s="525"/>
      <c r="D63" s="525"/>
      <c r="E63" s="525"/>
      <c r="F63" s="504">
        <f t="shared" si="13"/>
        <v>329739932</v>
      </c>
      <c r="G63" s="525"/>
      <c r="H63" s="504">
        <f t="shared" si="14"/>
        <v>329739932</v>
      </c>
      <c r="I63" s="504">
        <f>SUM(I64:I68)</f>
        <v>30000000</v>
      </c>
      <c r="J63" s="505"/>
      <c r="K63" s="506">
        <f>SUM(K64:K68)</f>
        <v>-9246468</v>
      </c>
      <c r="L63" s="507"/>
      <c r="M63" s="507"/>
      <c r="N63" s="507">
        <f t="shared" si="11"/>
        <v>350493464</v>
      </c>
      <c r="O63" s="504">
        <f>SUM(O64:O68)</f>
        <v>319733649</v>
      </c>
      <c r="P63" s="397">
        <f t="shared" si="15"/>
        <v>-30759815</v>
      </c>
      <c r="Q63" s="452">
        <f>+O63/N63</f>
        <v>0.9122385489048663</v>
      </c>
      <c r="R63" s="445"/>
    </row>
    <row r="64" spans="1:18" ht="15.75" customHeight="1" hidden="1" outlineLevel="1">
      <c r="A64" s="437" t="s">
        <v>283</v>
      </c>
      <c r="B64" s="512">
        <v>85242640</v>
      </c>
      <c r="C64" s="525"/>
      <c r="D64" s="525"/>
      <c r="E64" s="525"/>
      <c r="F64" s="512">
        <f t="shared" si="13"/>
        <v>85242640</v>
      </c>
      <c r="G64" s="526"/>
      <c r="H64" s="512">
        <f t="shared" si="14"/>
        <v>85242640</v>
      </c>
      <c r="I64" s="512"/>
      <c r="J64" s="521"/>
      <c r="K64" s="511">
        <v>-9246468</v>
      </c>
      <c r="L64" s="511"/>
      <c r="M64" s="511"/>
      <c r="N64" s="511">
        <f>SUM(H64:K64)</f>
        <v>75996172</v>
      </c>
      <c r="O64" s="511">
        <v>75387406</v>
      </c>
      <c r="P64" s="443">
        <f t="shared" si="15"/>
        <v>-608766</v>
      </c>
      <c r="Q64" s="452">
        <f t="shared" si="1"/>
        <v>0.99198951757728</v>
      </c>
      <c r="R64" s="445"/>
    </row>
    <row r="65" spans="1:18" ht="15.75" customHeight="1" hidden="1" outlineLevel="1">
      <c r="A65" s="437" t="s">
        <v>389</v>
      </c>
      <c r="B65" s="512">
        <v>18603380</v>
      </c>
      <c r="C65" s="525"/>
      <c r="D65" s="525"/>
      <c r="E65" s="525"/>
      <c r="F65" s="512">
        <f t="shared" si="13"/>
        <v>18603380</v>
      </c>
      <c r="G65" s="526"/>
      <c r="H65" s="512">
        <f t="shared" si="14"/>
        <v>18603380</v>
      </c>
      <c r="I65" s="512"/>
      <c r="J65" s="521"/>
      <c r="K65" s="511"/>
      <c r="L65" s="511"/>
      <c r="M65" s="511"/>
      <c r="N65" s="511">
        <f>SUM(H65:K65)</f>
        <v>18603380</v>
      </c>
      <c r="O65" s="511">
        <v>18603380</v>
      </c>
      <c r="P65" s="443">
        <f t="shared" si="15"/>
        <v>0</v>
      </c>
      <c r="Q65" s="452">
        <f t="shared" si="1"/>
        <v>1</v>
      </c>
      <c r="R65" s="445"/>
    </row>
    <row r="66" spans="1:18" ht="15.75" customHeight="1" hidden="1" outlineLevel="1">
      <c r="A66" s="527" t="s">
        <v>390</v>
      </c>
      <c r="B66" s="512">
        <v>48547512</v>
      </c>
      <c r="C66" s="525"/>
      <c r="D66" s="525"/>
      <c r="E66" s="525"/>
      <c r="F66" s="512">
        <f t="shared" si="13"/>
        <v>48547512</v>
      </c>
      <c r="G66" s="526"/>
      <c r="H66" s="512">
        <f t="shared" si="14"/>
        <v>48547512</v>
      </c>
      <c r="I66" s="512"/>
      <c r="J66" s="521"/>
      <c r="K66" s="511"/>
      <c r="L66" s="511"/>
      <c r="M66" s="511"/>
      <c r="N66" s="511">
        <f>+H66</f>
        <v>48547512</v>
      </c>
      <c r="O66" s="511">
        <v>49947075</v>
      </c>
      <c r="P66" s="443">
        <f t="shared" si="15"/>
        <v>1399563</v>
      </c>
      <c r="Q66" s="452">
        <f t="shared" si="1"/>
        <v>1.0288287276184205</v>
      </c>
      <c r="R66" s="445"/>
    </row>
    <row r="67" spans="1:18" ht="15.75" customHeight="1" hidden="1" outlineLevel="1">
      <c r="A67" s="528" t="s">
        <v>391</v>
      </c>
      <c r="B67" s="512">
        <v>177346400</v>
      </c>
      <c r="C67" s="525"/>
      <c r="D67" s="525"/>
      <c r="E67" s="525"/>
      <c r="F67" s="512">
        <f t="shared" si="13"/>
        <v>177346400</v>
      </c>
      <c r="G67" s="526"/>
      <c r="H67" s="512">
        <f t="shared" si="14"/>
        <v>177346400</v>
      </c>
      <c r="I67" s="512"/>
      <c r="J67" s="521"/>
      <c r="K67" s="511"/>
      <c r="L67" s="511"/>
      <c r="M67" s="511"/>
      <c r="N67" s="511">
        <f>SUM(H67:K67)+1413000</f>
        <v>178759400</v>
      </c>
      <c r="O67" s="511">
        <v>168589014</v>
      </c>
      <c r="P67" s="443">
        <f t="shared" si="15"/>
        <v>-10170386</v>
      </c>
      <c r="Q67" s="452">
        <f>+O67/N67</f>
        <v>0.9431057275869129</v>
      </c>
      <c r="R67" s="445"/>
    </row>
    <row r="68" spans="1:18" ht="15.75" customHeight="1" hidden="1" outlineLevel="1">
      <c r="A68" s="528" t="s">
        <v>263</v>
      </c>
      <c r="B68" s="512"/>
      <c r="C68" s="525"/>
      <c r="D68" s="525"/>
      <c r="E68" s="525"/>
      <c r="F68" s="512"/>
      <c r="G68" s="526"/>
      <c r="H68" s="512">
        <v>0</v>
      </c>
      <c r="I68" s="512">
        <v>30000000</v>
      </c>
      <c r="J68" s="521"/>
      <c r="K68" s="511"/>
      <c r="L68" s="511"/>
      <c r="M68" s="511"/>
      <c r="N68" s="511">
        <f>SUM(H68:K68)-1413000</f>
        <v>28587000</v>
      </c>
      <c r="O68" s="511">
        <v>7206774</v>
      </c>
      <c r="P68" s="443">
        <f t="shared" si="15"/>
        <v>-21380226</v>
      </c>
      <c r="Q68" s="452">
        <f t="shared" si="1"/>
        <v>0.2520996956658621</v>
      </c>
      <c r="R68" s="445"/>
    </row>
    <row r="69" spans="1:18" ht="15.75" customHeight="1" collapsed="1">
      <c r="A69" s="437"/>
      <c r="B69" s="509"/>
      <c r="C69" s="518"/>
      <c r="D69" s="518"/>
      <c r="E69" s="529"/>
      <c r="F69" s="509"/>
      <c r="G69" s="518"/>
      <c r="H69" s="509"/>
      <c r="I69" s="509"/>
      <c r="J69" s="510"/>
      <c r="K69" s="511"/>
      <c r="L69" s="511"/>
      <c r="M69" s="511"/>
      <c r="N69" s="511"/>
      <c r="O69" s="511"/>
      <c r="P69" s="444"/>
      <c r="Q69" s="452"/>
      <c r="R69" s="445"/>
    </row>
    <row r="70" spans="1:18" ht="15.75" customHeight="1">
      <c r="A70" s="431" t="s">
        <v>11</v>
      </c>
      <c r="B70" s="397"/>
      <c r="C70" s="509"/>
      <c r="D70" s="509"/>
      <c r="E70" s="504">
        <f>+E71+E77+E85+E92+E100+E105+E109</f>
        <v>2862575003.9334</v>
      </c>
      <c r="F70" s="514">
        <f aca="true" t="shared" si="16" ref="F70:F105">+E70+D70+C70+B70</f>
        <v>2862575003.9334</v>
      </c>
      <c r="G70" s="500"/>
      <c r="H70" s="514">
        <f aca="true" t="shared" si="17" ref="H70:H105">+F70+G70</f>
        <v>2862575003.9334</v>
      </c>
      <c r="I70" s="514"/>
      <c r="J70" s="515">
        <f>+J71+J77+J85+J92+J100+J105</f>
        <v>50076480</v>
      </c>
      <c r="K70" s="506">
        <f>+K71+K77+K85+K92+K100+K105+K109</f>
        <v>230000000</v>
      </c>
      <c r="L70" s="507"/>
      <c r="M70" s="507"/>
      <c r="N70" s="507">
        <f aca="true" t="shared" si="18" ref="N70:N109">SUM(H70:M70)</f>
        <v>3142651483.9334</v>
      </c>
      <c r="O70" s="507">
        <f>+O71+O77+O85+O92+O100+O105+O109</f>
        <v>3095355808</v>
      </c>
      <c r="P70" s="397">
        <f>+O70-N70</f>
        <v>-47295675.933400154</v>
      </c>
      <c r="Q70" s="452">
        <f t="shared" si="1"/>
        <v>0.9849503910391604</v>
      </c>
      <c r="R70" s="445"/>
    </row>
    <row r="71" spans="1:18" ht="15.75" customHeight="1">
      <c r="A71" s="432" t="s">
        <v>275</v>
      </c>
      <c r="B71" s="397"/>
      <c r="C71" s="509"/>
      <c r="D71" s="509"/>
      <c r="E71" s="504">
        <f>SUM(E72:E76)</f>
        <v>314756004.256</v>
      </c>
      <c r="F71" s="514">
        <f t="shared" si="16"/>
        <v>314756004.256</v>
      </c>
      <c r="G71" s="500"/>
      <c r="H71" s="514">
        <f t="shared" si="17"/>
        <v>314756004.256</v>
      </c>
      <c r="I71" s="514"/>
      <c r="J71" s="515"/>
      <c r="K71" s="506">
        <f>SUM(K72:K76)</f>
        <v>-31230000</v>
      </c>
      <c r="L71" s="507"/>
      <c r="M71" s="507"/>
      <c r="N71" s="507">
        <f t="shared" si="18"/>
        <v>283526004.256</v>
      </c>
      <c r="O71" s="507">
        <f>SUM(O72:O76)</f>
        <v>265277863</v>
      </c>
      <c r="P71" s="397">
        <f>+O71-N71</f>
        <v>-18248141.255999982</v>
      </c>
      <c r="Q71" s="452">
        <f t="shared" si="1"/>
        <v>0.9356385623114716</v>
      </c>
      <c r="R71" s="445"/>
    </row>
    <row r="72" spans="1:18" ht="15.75" customHeight="1" hidden="1" outlineLevel="1">
      <c r="A72" s="433" t="s">
        <v>276</v>
      </c>
      <c r="B72" s="397"/>
      <c r="C72" s="509"/>
      <c r="D72" s="509"/>
      <c r="E72" s="523">
        <f>33141004.256+361000</f>
        <v>33502004.256</v>
      </c>
      <c r="F72" s="512">
        <f t="shared" si="16"/>
        <v>33502004.256</v>
      </c>
      <c r="G72" s="500"/>
      <c r="H72" s="512">
        <f t="shared" si="17"/>
        <v>33502004.256</v>
      </c>
      <c r="I72" s="512"/>
      <c r="J72" s="521"/>
      <c r="K72" s="511"/>
      <c r="L72" s="511"/>
      <c r="M72" s="511"/>
      <c r="N72" s="511">
        <f t="shared" si="18"/>
        <v>33502004.256</v>
      </c>
      <c r="O72" s="511">
        <v>33501960</v>
      </c>
      <c r="P72" s="443">
        <f aca="true" t="shared" si="19" ref="P72:P77">+O72-N72</f>
        <v>-44.25600000098348</v>
      </c>
      <c r="Q72" s="452">
        <f aca="true" t="shared" si="20" ref="Q72:Q109">+O72/N72</f>
        <v>0.9999986790044063</v>
      </c>
      <c r="R72" s="445"/>
    </row>
    <row r="73" spans="1:18" ht="15.75" customHeight="1" hidden="1" outlineLevel="1">
      <c r="A73" s="433" t="s">
        <v>277</v>
      </c>
      <c r="B73" s="397"/>
      <c r="C73" s="509"/>
      <c r="D73" s="509"/>
      <c r="E73" s="523">
        <f>84175000-361000</f>
        <v>83814000</v>
      </c>
      <c r="F73" s="512">
        <f t="shared" si="16"/>
        <v>83814000</v>
      </c>
      <c r="G73" s="500"/>
      <c r="H73" s="512">
        <f t="shared" si="17"/>
        <v>83814000</v>
      </c>
      <c r="I73" s="512"/>
      <c r="J73" s="521"/>
      <c r="K73" s="511">
        <v>-880000</v>
      </c>
      <c r="L73" s="511"/>
      <c r="M73" s="511"/>
      <c r="N73" s="511">
        <f t="shared" si="18"/>
        <v>82934000</v>
      </c>
      <c r="O73" s="511">
        <v>81855000</v>
      </c>
      <c r="P73" s="443">
        <f t="shared" si="19"/>
        <v>-1079000</v>
      </c>
      <c r="Q73" s="452">
        <f t="shared" si="20"/>
        <v>0.9869896544239998</v>
      </c>
      <c r="R73" s="445"/>
    </row>
    <row r="74" spans="1:18" ht="15.75" customHeight="1" hidden="1" outlineLevel="1">
      <c r="A74" s="433" t="s">
        <v>392</v>
      </c>
      <c r="B74" s="397"/>
      <c r="C74" s="509"/>
      <c r="D74" s="509"/>
      <c r="E74" s="523">
        <f>7000000+1700000</f>
        <v>8700000</v>
      </c>
      <c r="F74" s="512">
        <f t="shared" si="16"/>
        <v>8700000</v>
      </c>
      <c r="G74" s="500"/>
      <c r="H74" s="512">
        <f t="shared" si="17"/>
        <v>8700000</v>
      </c>
      <c r="I74" s="512"/>
      <c r="J74" s="521"/>
      <c r="K74" s="511"/>
      <c r="L74" s="511"/>
      <c r="M74" s="511"/>
      <c r="N74" s="511">
        <f t="shared" si="18"/>
        <v>8700000</v>
      </c>
      <c r="O74" s="511">
        <v>8700000</v>
      </c>
      <c r="P74" s="443">
        <f t="shared" si="19"/>
        <v>0</v>
      </c>
      <c r="Q74" s="452">
        <f t="shared" si="20"/>
        <v>1</v>
      </c>
      <c r="R74" s="445"/>
    </row>
    <row r="75" spans="1:18" ht="15.75" customHeight="1" hidden="1" outlineLevel="1">
      <c r="A75" s="433" t="s">
        <v>393</v>
      </c>
      <c r="B75" s="397"/>
      <c r="C75" s="509"/>
      <c r="D75" s="509"/>
      <c r="E75" s="523">
        <f>180000000-1700000</f>
        <v>178300000</v>
      </c>
      <c r="F75" s="512">
        <f t="shared" si="16"/>
        <v>178300000</v>
      </c>
      <c r="G75" s="500"/>
      <c r="H75" s="512">
        <f t="shared" si="17"/>
        <v>178300000</v>
      </c>
      <c r="I75" s="512"/>
      <c r="J75" s="521"/>
      <c r="K75" s="511">
        <v>-30350000</v>
      </c>
      <c r="L75" s="511"/>
      <c r="M75" s="511"/>
      <c r="N75" s="511">
        <f t="shared" si="18"/>
        <v>147950000</v>
      </c>
      <c r="O75" s="511">
        <v>130780903</v>
      </c>
      <c r="P75" s="443">
        <f t="shared" si="19"/>
        <v>-17169097</v>
      </c>
      <c r="Q75" s="452">
        <f t="shared" si="20"/>
        <v>0.8839533828996282</v>
      </c>
      <c r="R75" s="445"/>
    </row>
    <row r="76" spans="1:18" ht="15.75" customHeight="1" hidden="1" outlineLevel="1">
      <c r="A76" s="433" t="s">
        <v>394</v>
      </c>
      <c r="B76" s="397"/>
      <c r="C76" s="509"/>
      <c r="D76" s="509"/>
      <c r="E76" s="523">
        <v>10439999.999999998</v>
      </c>
      <c r="F76" s="512">
        <f t="shared" si="16"/>
        <v>10439999.999999998</v>
      </c>
      <c r="G76" s="500"/>
      <c r="H76" s="512">
        <f t="shared" si="17"/>
        <v>10439999.999999998</v>
      </c>
      <c r="I76" s="512"/>
      <c r="J76" s="521"/>
      <c r="K76" s="511"/>
      <c r="L76" s="511"/>
      <c r="M76" s="511"/>
      <c r="N76" s="511">
        <f t="shared" si="18"/>
        <v>10439999.999999998</v>
      </c>
      <c r="O76" s="511">
        <v>10440000</v>
      </c>
      <c r="P76" s="443">
        <f t="shared" si="19"/>
        <v>0</v>
      </c>
      <c r="Q76" s="452">
        <f t="shared" si="20"/>
        <v>1.0000000000000002</v>
      </c>
      <c r="R76" s="445"/>
    </row>
    <row r="77" spans="1:18" ht="15.75" customHeight="1" collapsed="1">
      <c r="A77" s="434" t="s">
        <v>395</v>
      </c>
      <c r="B77" s="397"/>
      <c r="C77" s="509"/>
      <c r="D77" s="509"/>
      <c r="E77" s="504">
        <f>SUM(E78:E84)</f>
        <v>225461102.22500002</v>
      </c>
      <c r="F77" s="514">
        <f t="shared" si="16"/>
        <v>225461102.22500002</v>
      </c>
      <c r="G77" s="500"/>
      <c r="H77" s="514">
        <f t="shared" si="17"/>
        <v>225461102.22500002</v>
      </c>
      <c r="I77" s="514"/>
      <c r="J77" s="515"/>
      <c r="K77" s="506">
        <f>SUM(K78:K84)</f>
        <v>-38798730</v>
      </c>
      <c r="L77" s="507"/>
      <c r="M77" s="507"/>
      <c r="N77" s="507">
        <f t="shared" si="18"/>
        <v>186662372.22500002</v>
      </c>
      <c r="O77" s="507">
        <f>SUM(O78:O84)</f>
        <v>175302996</v>
      </c>
      <c r="P77" s="397">
        <f t="shared" si="19"/>
        <v>-11359376.225000024</v>
      </c>
      <c r="Q77" s="452">
        <f t="shared" si="20"/>
        <v>0.9391447987636865</v>
      </c>
      <c r="R77" s="445"/>
    </row>
    <row r="78" spans="1:18" ht="15.75" customHeight="1" hidden="1" outlineLevel="1">
      <c r="A78" s="433" t="s">
        <v>396</v>
      </c>
      <c r="B78" s="397"/>
      <c r="C78" s="509"/>
      <c r="D78" s="509"/>
      <c r="E78" s="512">
        <v>144861102.22500002</v>
      </c>
      <c r="F78" s="512">
        <f t="shared" si="16"/>
        <v>144861102.22500002</v>
      </c>
      <c r="G78" s="500"/>
      <c r="H78" s="512">
        <f t="shared" si="17"/>
        <v>144861102.22500002</v>
      </c>
      <c r="I78" s="512"/>
      <c r="J78" s="521"/>
      <c r="K78" s="511">
        <v>-20694424</v>
      </c>
      <c r="L78" s="511"/>
      <c r="M78" s="511"/>
      <c r="N78" s="511">
        <f t="shared" si="18"/>
        <v>124166678.22500002</v>
      </c>
      <c r="O78" s="511">
        <v>117165770</v>
      </c>
      <c r="P78" s="443">
        <f aca="true" t="shared" si="21" ref="P78:P85">+O78-N78</f>
        <v>-7000908.225000024</v>
      </c>
      <c r="Q78" s="452">
        <f t="shared" si="20"/>
        <v>0.9436168517586191</v>
      </c>
      <c r="R78" s="445"/>
    </row>
    <row r="79" spans="1:18" ht="15.75" customHeight="1" hidden="1" outlineLevel="1">
      <c r="A79" s="433" t="s">
        <v>397</v>
      </c>
      <c r="B79" s="397"/>
      <c r="C79" s="509"/>
      <c r="D79" s="509"/>
      <c r="E79" s="512">
        <v>9600000</v>
      </c>
      <c r="F79" s="512">
        <f t="shared" si="16"/>
        <v>9600000</v>
      </c>
      <c r="G79" s="500"/>
      <c r="H79" s="512">
        <f t="shared" si="17"/>
        <v>9600000</v>
      </c>
      <c r="I79" s="512"/>
      <c r="J79" s="521"/>
      <c r="K79" s="511"/>
      <c r="L79" s="511"/>
      <c r="M79" s="511"/>
      <c r="N79" s="511">
        <f t="shared" si="18"/>
        <v>9600000</v>
      </c>
      <c r="O79" s="511">
        <v>11304541</v>
      </c>
      <c r="P79" s="443">
        <f t="shared" si="21"/>
        <v>1704541</v>
      </c>
      <c r="Q79" s="452">
        <f t="shared" si="20"/>
        <v>1.1775563541666667</v>
      </c>
      <c r="R79" s="445"/>
    </row>
    <row r="80" spans="1:18" ht="15.75" customHeight="1" hidden="1" outlineLevel="1">
      <c r="A80" s="433" t="s">
        <v>305</v>
      </c>
      <c r="B80" s="397"/>
      <c r="C80" s="509"/>
      <c r="D80" s="509"/>
      <c r="E80" s="512">
        <v>20000000</v>
      </c>
      <c r="F80" s="512">
        <f t="shared" si="16"/>
        <v>20000000</v>
      </c>
      <c r="G80" s="500"/>
      <c r="H80" s="512">
        <f t="shared" si="17"/>
        <v>20000000</v>
      </c>
      <c r="I80" s="512"/>
      <c r="J80" s="521"/>
      <c r="K80" s="511"/>
      <c r="L80" s="511"/>
      <c r="M80" s="511"/>
      <c r="N80" s="511">
        <f t="shared" si="18"/>
        <v>20000000</v>
      </c>
      <c r="O80" s="511">
        <v>19989115</v>
      </c>
      <c r="P80" s="443">
        <f t="shared" si="21"/>
        <v>-10885</v>
      </c>
      <c r="Q80" s="452">
        <f>+O80/N80</f>
        <v>0.99945575</v>
      </c>
      <c r="R80" s="445"/>
    </row>
    <row r="81" spans="1:18" ht="15.75" customHeight="1" hidden="1" outlineLevel="1">
      <c r="A81" s="433" t="s">
        <v>398</v>
      </c>
      <c r="B81" s="397"/>
      <c r="C81" s="509"/>
      <c r="D81" s="509"/>
      <c r="E81" s="512">
        <v>3000000</v>
      </c>
      <c r="F81" s="512">
        <f t="shared" si="16"/>
        <v>3000000</v>
      </c>
      <c r="G81" s="500"/>
      <c r="H81" s="512">
        <f t="shared" si="17"/>
        <v>3000000</v>
      </c>
      <c r="I81" s="512"/>
      <c r="J81" s="521"/>
      <c r="K81" s="511"/>
      <c r="L81" s="511"/>
      <c r="M81" s="511"/>
      <c r="N81" s="511">
        <f t="shared" si="18"/>
        <v>3000000</v>
      </c>
      <c r="O81" s="511">
        <v>999978</v>
      </c>
      <c r="P81" s="443">
        <f t="shared" si="21"/>
        <v>-2000022</v>
      </c>
      <c r="Q81" s="452">
        <f t="shared" si="20"/>
        <v>0.333326</v>
      </c>
      <c r="R81" s="445"/>
    </row>
    <row r="82" spans="1:18" ht="15.75" customHeight="1" hidden="1" outlineLevel="1">
      <c r="A82" s="433" t="s">
        <v>399</v>
      </c>
      <c r="B82" s="397"/>
      <c r="C82" s="509"/>
      <c r="D82" s="509"/>
      <c r="E82" s="512">
        <v>25000000</v>
      </c>
      <c r="F82" s="512">
        <f t="shared" si="16"/>
        <v>25000000</v>
      </c>
      <c r="G82" s="500"/>
      <c r="H82" s="512">
        <f t="shared" si="17"/>
        <v>25000000</v>
      </c>
      <c r="I82" s="512"/>
      <c r="J82" s="521"/>
      <c r="K82" s="511">
        <v>-4104306</v>
      </c>
      <c r="L82" s="511"/>
      <c r="M82" s="511"/>
      <c r="N82" s="511">
        <f t="shared" si="18"/>
        <v>20895694</v>
      </c>
      <c r="O82" s="511">
        <v>16887632</v>
      </c>
      <c r="P82" s="443">
        <f t="shared" si="21"/>
        <v>-4008062</v>
      </c>
      <c r="Q82" s="452">
        <f t="shared" si="20"/>
        <v>0.8081871796170063</v>
      </c>
      <c r="R82" s="445"/>
    </row>
    <row r="83" spans="1:18" ht="15.75" customHeight="1" hidden="1" outlineLevel="1">
      <c r="A83" s="433" t="s">
        <v>400</v>
      </c>
      <c r="B83" s="397"/>
      <c r="C83" s="509"/>
      <c r="D83" s="509"/>
      <c r="E83" s="512">
        <v>14000000</v>
      </c>
      <c r="F83" s="512">
        <f t="shared" si="16"/>
        <v>14000000</v>
      </c>
      <c r="G83" s="500"/>
      <c r="H83" s="512">
        <f t="shared" si="17"/>
        <v>14000000</v>
      </c>
      <c r="I83" s="512"/>
      <c r="J83" s="521"/>
      <c r="K83" s="511">
        <v>-14000000</v>
      </c>
      <c r="L83" s="511"/>
      <c r="M83" s="511"/>
      <c r="N83" s="511">
        <f t="shared" si="18"/>
        <v>0</v>
      </c>
      <c r="O83" s="511">
        <v>0</v>
      </c>
      <c r="P83" s="443">
        <f t="shared" si="21"/>
        <v>0</v>
      </c>
      <c r="Q83" s="452">
        <v>0</v>
      </c>
      <c r="R83" s="445"/>
    </row>
    <row r="84" spans="1:18" ht="15.75" customHeight="1" hidden="1" outlineLevel="1">
      <c r="A84" s="433" t="s">
        <v>401</v>
      </c>
      <c r="B84" s="397"/>
      <c r="C84" s="509"/>
      <c r="D84" s="509"/>
      <c r="E84" s="512">
        <v>9000000</v>
      </c>
      <c r="F84" s="512">
        <f t="shared" si="16"/>
        <v>9000000</v>
      </c>
      <c r="G84" s="500"/>
      <c r="H84" s="512">
        <f t="shared" si="17"/>
        <v>9000000</v>
      </c>
      <c r="I84" s="512"/>
      <c r="J84" s="521"/>
      <c r="K84" s="511"/>
      <c r="L84" s="511"/>
      <c r="M84" s="511"/>
      <c r="N84" s="511">
        <f t="shared" si="18"/>
        <v>9000000</v>
      </c>
      <c r="O84" s="511">
        <v>8955960</v>
      </c>
      <c r="P84" s="443">
        <f t="shared" si="21"/>
        <v>-44040</v>
      </c>
      <c r="Q84" s="452">
        <f t="shared" si="20"/>
        <v>0.9951066666666667</v>
      </c>
      <c r="R84" s="445"/>
    </row>
    <row r="85" spans="1:18" ht="15.75" customHeight="1" collapsed="1">
      <c r="A85" s="440" t="s">
        <v>402</v>
      </c>
      <c r="B85" s="397"/>
      <c r="C85" s="509"/>
      <c r="D85" s="509"/>
      <c r="E85" s="504">
        <f>SUM(E86:E91)</f>
        <v>410159685.55</v>
      </c>
      <c r="F85" s="514">
        <f t="shared" si="16"/>
        <v>410159685.55</v>
      </c>
      <c r="G85" s="500"/>
      <c r="H85" s="514">
        <f t="shared" si="17"/>
        <v>410159685.55</v>
      </c>
      <c r="I85" s="514"/>
      <c r="J85" s="515"/>
      <c r="K85" s="506">
        <f>SUM(K86:K91)</f>
        <v>-7885748</v>
      </c>
      <c r="L85" s="507"/>
      <c r="M85" s="507"/>
      <c r="N85" s="507">
        <f t="shared" si="18"/>
        <v>402273937.55</v>
      </c>
      <c r="O85" s="507">
        <f>SUM(O86:O91)</f>
        <v>399585871</v>
      </c>
      <c r="P85" s="397">
        <f t="shared" si="21"/>
        <v>-2688066.550000012</v>
      </c>
      <c r="Q85" s="452">
        <f t="shared" si="20"/>
        <v>0.9933178207706636</v>
      </c>
      <c r="R85" s="445"/>
    </row>
    <row r="86" spans="1:18" ht="15.75" customHeight="1" hidden="1" outlineLevel="1">
      <c r="A86" s="433" t="s">
        <v>403</v>
      </c>
      <c r="B86" s="397"/>
      <c r="C86" s="509"/>
      <c r="D86" s="509"/>
      <c r="E86" s="512">
        <v>171253200</v>
      </c>
      <c r="F86" s="512">
        <f t="shared" si="16"/>
        <v>171253200</v>
      </c>
      <c r="G86" s="500"/>
      <c r="H86" s="512">
        <f t="shared" si="17"/>
        <v>171253200</v>
      </c>
      <c r="I86" s="512"/>
      <c r="J86" s="521"/>
      <c r="K86" s="511">
        <v>-7186116</v>
      </c>
      <c r="L86" s="511"/>
      <c r="M86" s="511"/>
      <c r="N86" s="511">
        <f t="shared" si="18"/>
        <v>164067084</v>
      </c>
      <c r="O86" s="511">
        <v>163182658</v>
      </c>
      <c r="P86" s="443">
        <f aca="true" t="shared" si="22" ref="P86:P92">+O86-N86</f>
        <v>-884426</v>
      </c>
      <c r="Q86" s="452">
        <f t="shared" si="20"/>
        <v>0.9946093635698432</v>
      </c>
      <c r="R86" s="445"/>
    </row>
    <row r="87" spans="1:18" ht="15.75" customHeight="1" hidden="1" outlineLevel="1">
      <c r="A87" s="433" t="s">
        <v>404</v>
      </c>
      <c r="B87" s="397"/>
      <c r="C87" s="509"/>
      <c r="D87" s="509"/>
      <c r="E87" s="512">
        <v>95876485.55000001</v>
      </c>
      <c r="F87" s="512">
        <f t="shared" si="16"/>
        <v>95876485.55000001</v>
      </c>
      <c r="G87" s="500"/>
      <c r="H87" s="512">
        <f t="shared" si="17"/>
        <v>95876485.55000001</v>
      </c>
      <c r="I87" s="512"/>
      <c r="J87" s="521"/>
      <c r="K87" s="511"/>
      <c r="L87" s="511"/>
      <c r="M87" s="511"/>
      <c r="N87" s="511">
        <f t="shared" si="18"/>
        <v>95876485.55000001</v>
      </c>
      <c r="O87" s="511">
        <v>95185854</v>
      </c>
      <c r="P87" s="443">
        <f t="shared" si="22"/>
        <v>-690631.5500000119</v>
      </c>
      <c r="Q87" s="452">
        <f t="shared" si="20"/>
        <v>0.9927966534647347</v>
      </c>
      <c r="R87" s="445"/>
    </row>
    <row r="88" spans="1:18" ht="15.75" customHeight="1" hidden="1" outlineLevel="1">
      <c r="A88" s="433" t="s">
        <v>405</v>
      </c>
      <c r="B88" s="397"/>
      <c r="C88" s="509"/>
      <c r="D88" s="509"/>
      <c r="E88" s="512">
        <f>102480000+8000000</f>
        <v>110480000</v>
      </c>
      <c r="F88" s="512">
        <f t="shared" si="16"/>
        <v>110480000</v>
      </c>
      <c r="G88" s="500"/>
      <c r="H88" s="512">
        <f t="shared" si="17"/>
        <v>110480000</v>
      </c>
      <c r="I88" s="512"/>
      <c r="J88" s="521"/>
      <c r="K88" s="511"/>
      <c r="L88" s="511"/>
      <c r="M88" s="511"/>
      <c r="N88" s="511">
        <f t="shared" si="18"/>
        <v>110480000</v>
      </c>
      <c r="O88" s="511">
        <v>110398999</v>
      </c>
      <c r="P88" s="443">
        <f t="shared" si="22"/>
        <v>-81001</v>
      </c>
      <c r="Q88" s="452">
        <f t="shared" si="20"/>
        <v>0.9992668265749457</v>
      </c>
      <c r="R88" s="445"/>
    </row>
    <row r="89" spans="1:18" ht="15.75" customHeight="1" hidden="1" outlineLevel="1">
      <c r="A89" s="433" t="s">
        <v>401</v>
      </c>
      <c r="B89" s="397"/>
      <c r="C89" s="509"/>
      <c r="D89" s="509"/>
      <c r="E89" s="512">
        <v>17550000</v>
      </c>
      <c r="F89" s="512">
        <f t="shared" si="16"/>
        <v>17550000</v>
      </c>
      <c r="G89" s="500"/>
      <c r="H89" s="512">
        <f t="shared" si="17"/>
        <v>17550000</v>
      </c>
      <c r="I89" s="512"/>
      <c r="J89" s="521"/>
      <c r="K89" s="511"/>
      <c r="L89" s="511"/>
      <c r="M89" s="511"/>
      <c r="N89" s="511">
        <f t="shared" si="18"/>
        <v>17550000</v>
      </c>
      <c r="O89" s="511">
        <v>17542796</v>
      </c>
      <c r="P89" s="443">
        <f t="shared" si="22"/>
        <v>-7204</v>
      </c>
      <c r="Q89" s="452">
        <f t="shared" si="20"/>
        <v>0.9995895156695157</v>
      </c>
      <c r="R89" s="445"/>
    </row>
    <row r="90" spans="1:18" ht="15.75" customHeight="1" hidden="1" outlineLevel="1">
      <c r="A90" s="433" t="s">
        <v>406</v>
      </c>
      <c r="B90" s="397"/>
      <c r="C90" s="509"/>
      <c r="D90" s="509"/>
      <c r="E90" s="512">
        <v>10000000</v>
      </c>
      <c r="F90" s="512">
        <f t="shared" si="16"/>
        <v>10000000</v>
      </c>
      <c r="G90" s="500"/>
      <c r="H90" s="512">
        <f t="shared" si="17"/>
        <v>10000000</v>
      </c>
      <c r="I90" s="512"/>
      <c r="J90" s="521"/>
      <c r="K90" s="511"/>
      <c r="L90" s="511"/>
      <c r="M90" s="511"/>
      <c r="N90" s="511">
        <f t="shared" si="18"/>
        <v>10000000</v>
      </c>
      <c r="O90" s="511">
        <v>8975196</v>
      </c>
      <c r="P90" s="443">
        <f t="shared" si="22"/>
        <v>-1024804</v>
      </c>
      <c r="Q90" s="452">
        <f t="shared" si="20"/>
        <v>0.8975196</v>
      </c>
      <c r="R90" s="445"/>
    </row>
    <row r="91" spans="1:18" ht="15.75" customHeight="1" hidden="1" outlineLevel="1">
      <c r="A91" s="433" t="s">
        <v>305</v>
      </c>
      <c r="B91" s="397"/>
      <c r="C91" s="509"/>
      <c r="D91" s="509"/>
      <c r="E91" s="512">
        <f>13000000-8000000</f>
        <v>5000000</v>
      </c>
      <c r="F91" s="512">
        <f t="shared" si="16"/>
        <v>5000000</v>
      </c>
      <c r="G91" s="500"/>
      <c r="H91" s="512">
        <f t="shared" si="17"/>
        <v>5000000</v>
      </c>
      <c r="I91" s="512"/>
      <c r="J91" s="521"/>
      <c r="K91" s="511">
        <v>-699632</v>
      </c>
      <c r="L91" s="511"/>
      <c r="M91" s="511"/>
      <c r="N91" s="511">
        <f t="shared" si="18"/>
        <v>4300368</v>
      </c>
      <c r="O91" s="511">
        <v>4300368</v>
      </c>
      <c r="P91" s="443">
        <f t="shared" si="22"/>
        <v>0</v>
      </c>
      <c r="Q91" s="452">
        <f>+O91/N91</f>
        <v>1</v>
      </c>
      <c r="R91" s="445"/>
    </row>
    <row r="92" spans="1:18" ht="15.75" customHeight="1" collapsed="1">
      <c r="A92" s="434" t="s">
        <v>297</v>
      </c>
      <c r="B92" s="397"/>
      <c r="C92" s="509"/>
      <c r="D92" s="509"/>
      <c r="E92" s="504">
        <f>SUM(E93:E99)</f>
        <v>1528560000</v>
      </c>
      <c r="F92" s="514">
        <f t="shared" si="16"/>
        <v>1528560000</v>
      </c>
      <c r="G92" s="500"/>
      <c r="H92" s="514">
        <f t="shared" si="17"/>
        <v>1528560000</v>
      </c>
      <c r="I92" s="514"/>
      <c r="J92" s="514">
        <f>SUM(J93:J103)</f>
        <v>50076480</v>
      </c>
      <c r="K92" s="506">
        <f>SUM(K93:K99)</f>
        <v>291374011</v>
      </c>
      <c r="L92" s="507"/>
      <c r="M92" s="507"/>
      <c r="N92" s="507">
        <f t="shared" si="18"/>
        <v>1870010491</v>
      </c>
      <c r="O92" s="507">
        <f>SUM(O93:O99)</f>
        <v>1865903201</v>
      </c>
      <c r="P92" s="397">
        <f t="shared" si="22"/>
        <v>-4107290</v>
      </c>
      <c r="Q92" s="452">
        <f t="shared" si="20"/>
        <v>0.9978036005574473</v>
      </c>
      <c r="R92" s="445"/>
    </row>
    <row r="93" spans="1:18" ht="15.75" customHeight="1" hidden="1" outlineLevel="1">
      <c r="A93" s="435" t="s">
        <v>407</v>
      </c>
      <c r="B93" s="397"/>
      <c r="C93" s="509"/>
      <c r="D93" s="509"/>
      <c r="E93" s="512">
        <f>96600000-2023513+490000</f>
        <v>95066487</v>
      </c>
      <c r="F93" s="512">
        <f t="shared" si="16"/>
        <v>95066487</v>
      </c>
      <c r="G93" s="500"/>
      <c r="H93" s="512">
        <f t="shared" si="17"/>
        <v>95066487</v>
      </c>
      <c r="I93" s="512"/>
      <c r="J93" s="521">
        <v>10000000</v>
      </c>
      <c r="K93" s="511"/>
      <c r="L93" s="511"/>
      <c r="M93" s="511"/>
      <c r="N93" s="511">
        <f t="shared" si="18"/>
        <v>105066487</v>
      </c>
      <c r="O93" s="511">
        <v>105061032</v>
      </c>
      <c r="P93" s="443">
        <f aca="true" t="shared" si="23" ref="P93:P99">+O93-N93</f>
        <v>-5455</v>
      </c>
      <c r="Q93" s="452">
        <f t="shared" si="20"/>
        <v>0.9999480804949726</v>
      </c>
      <c r="R93" s="445"/>
    </row>
    <row r="94" spans="1:18" ht="15.75" customHeight="1" hidden="1" outlineLevel="1">
      <c r="A94" s="435" t="s">
        <v>408</v>
      </c>
      <c r="B94" s="397"/>
      <c r="C94" s="509"/>
      <c r="D94" s="509"/>
      <c r="E94" s="512">
        <f>1160000000+13529830+2023513-490000+4440000</f>
        <v>1179503343</v>
      </c>
      <c r="F94" s="512">
        <f t="shared" si="16"/>
        <v>1179503343</v>
      </c>
      <c r="G94" s="500"/>
      <c r="H94" s="512">
        <f t="shared" si="17"/>
        <v>1179503343</v>
      </c>
      <c r="I94" s="512"/>
      <c r="J94" s="521"/>
      <c r="K94" s="511">
        <f>61374011+230000000</f>
        <v>291374011</v>
      </c>
      <c r="L94" s="511"/>
      <c r="M94" s="511"/>
      <c r="N94" s="511">
        <f t="shared" si="18"/>
        <v>1470877354</v>
      </c>
      <c r="O94" s="511">
        <v>1469486599</v>
      </c>
      <c r="P94" s="443">
        <f t="shared" si="23"/>
        <v>-1390755</v>
      </c>
      <c r="Q94" s="452">
        <f t="shared" si="20"/>
        <v>0.999054472491389</v>
      </c>
      <c r="R94" s="445"/>
    </row>
    <row r="95" spans="1:18" ht="15.75" customHeight="1" hidden="1" outlineLevel="1">
      <c r="A95" s="433" t="s">
        <v>409</v>
      </c>
      <c r="B95" s="397"/>
      <c r="C95" s="509"/>
      <c r="D95" s="509"/>
      <c r="E95" s="512">
        <v>120000000</v>
      </c>
      <c r="F95" s="512">
        <f t="shared" si="16"/>
        <v>120000000</v>
      </c>
      <c r="G95" s="500"/>
      <c r="H95" s="512">
        <f t="shared" si="17"/>
        <v>120000000</v>
      </c>
      <c r="I95" s="512"/>
      <c r="J95" s="521"/>
      <c r="K95" s="511"/>
      <c r="L95" s="511"/>
      <c r="M95" s="511"/>
      <c r="N95" s="511">
        <f t="shared" si="18"/>
        <v>120000000</v>
      </c>
      <c r="O95" s="511">
        <v>120000000</v>
      </c>
      <c r="P95" s="443">
        <f t="shared" si="23"/>
        <v>0</v>
      </c>
      <c r="Q95" s="452">
        <f t="shared" si="20"/>
        <v>1</v>
      </c>
      <c r="R95" s="445"/>
    </row>
    <row r="96" spans="1:18" ht="15.75" customHeight="1" hidden="1" outlineLevel="1">
      <c r="A96" s="435" t="s">
        <v>410</v>
      </c>
      <c r="B96" s="397"/>
      <c r="C96" s="509"/>
      <c r="D96" s="509"/>
      <c r="E96" s="512">
        <v>10000000</v>
      </c>
      <c r="F96" s="512">
        <f t="shared" si="16"/>
        <v>10000000</v>
      </c>
      <c r="G96" s="500"/>
      <c r="H96" s="512">
        <f t="shared" si="17"/>
        <v>10000000</v>
      </c>
      <c r="I96" s="512"/>
      <c r="J96" s="521"/>
      <c r="K96" s="511"/>
      <c r="L96" s="511"/>
      <c r="M96" s="511"/>
      <c r="N96" s="511">
        <f t="shared" si="18"/>
        <v>10000000</v>
      </c>
      <c r="O96" s="511">
        <v>9933908</v>
      </c>
      <c r="P96" s="443">
        <f t="shared" si="23"/>
        <v>-66092</v>
      </c>
      <c r="Q96" s="452">
        <f t="shared" si="20"/>
        <v>0.9933908</v>
      </c>
      <c r="R96" s="445"/>
    </row>
    <row r="97" spans="1:18" ht="15.75" customHeight="1" hidden="1" outlineLevel="1">
      <c r="A97" s="433" t="s">
        <v>298</v>
      </c>
      <c r="B97" s="397"/>
      <c r="C97" s="509"/>
      <c r="D97" s="509"/>
      <c r="E97" s="512">
        <v>77500000</v>
      </c>
      <c r="F97" s="512">
        <f t="shared" si="16"/>
        <v>77500000</v>
      </c>
      <c r="G97" s="500"/>
      <c r="H97" s="512">
        <f t="shared" si="17"/>
        <v>77500000</v>
      </c>
      <c r="I97" s="512"/>
      <c r="J97" s="521"/>
      <c r="K97" s="511"/>
      <c r="L97" s="511"/>
      <c r="M97" s="511"/>
      <c r="N97" s="511">
        <f t="shared" si="18"/>
        <v>77500000</v>
      </c>
      <c r="O97" s="511">
        <v>74856769</v>
      </c>
      <c r="P97" s="443">
        <f t="shared" si="23"/>
        <v>-2643231</v>
      </c>
      <c r="Q97" s="452">
        <f>+O97/N97</f>
        <v>0.9658937935483871</v>
      </c>
      <c r="R97" s="445"/>
    </row>
    <row r="98" spans="1:18" ht="15.75" customHeight="1" hidden="1" outlineLevel="1">
      <c r="A98" s="433" t="s">
        <v>411</v>
      </c>
      <c r="B98" s="397"/>
      <c r="C98" s="509"/>
      <c r="D98" s="509"/>
      <c r="E98" s="512">
        <f>2000000+10116</f>
        <v>2010116</v>
      </c>
      <c r="F98" s="512">
        <f t="shared" si="16"/>
        <v>2010116</v>
      </c>
      <c r="G98" s="500"/>
      <c r="H98" s="512">
        <f t="shared" si="17"/>
        <v>2010116</v>
      </c>
      <c r="I98" s="512"/>
      <c r="J98" s="521">
        <v>40076480</v>
      </c>
      <c r="K98" s="511"/>
      <c r="L98" s="511"/>
      <c r="M98" s="511"/>
      <c r="N98" s="511">
        <f t="shared" si="18"/>
        <v>42086596</v>
      </c>
      <c r="O98" s="511">
        <v>42086596</v>
      </c>
      <c r="P98" s="443">
        <f t="shared" si="23"/>
        <v>0</v>
      </c>
      <c r="Q98" s="452">
        <f t="shared" si="20"/>
        <v>1</v>
      </c>
      <c r="R98" s="445"/>
    </row>
    <row r="99" spans="1:18" ht="15.75" customHeight="1" hidden="1" outlineLevel="1">
      <c r="A99" s="435" t="s">
        <v>412</v>
      </c>
      <c r="B99" s="397"/>
      <c r="C99" s="509"/>
      <c r="D99" s="509"/>
      <c r="E99" s="512">
        <f>62460000-13529830-10116-4440000</f>
        <v>44480054</v>
      </c>
      <c r="F99" s="512">
        <f t="shared" si="16"/>
        <v>44480054</v>
      </c>
      <c r="G99" s="500"/>
      <c r="H99" s="512">
        <f t="shared" si="17"/>
        <v>44480054</v>
      </c>
      <c r="I99" s="512"/>
      <c r="J99" s="521"/>
      <c r="K99" s="511"/>
      <c r="L99" s="511"/>
      <c r="M99" s="511"/>
      <c r="N99" s="511">
        <f t="shared" si="18"/>
        <v>44480054</v>
      </c>
      <c r="O99" s="511">
        <v>44478297</v>
      </c>
      <c r="P99" s="443">
        <f t="shared" si="23"/>
        <v>-1757</v>
      </c>
      <c r="Q99" s="452">
        <f t="shared" si="20"/>
        <v>0.9999604991486746</v>
      </c>
      <c r="R99" s="445"/>
    </row>
    <row r="100" spans="1:18" ht="15.75" customHeight="1" collapsed="1">
      <c r="A100" s="434" t="s">
        <v>278</v>
      </c>
      <c r="B100" s="397"/>
      <c r="C100" s="509"/>
      <c r="D100" s="509"/>
      <c r="E100" s="504">
        <f>SUM(E101:E103)</f>
        <v>176733656.12</v>
      </c>
      <c r="F100" s="514">
        <f t="shared" si="16"/>
        <v>176733656.12</v>
      </c>
      <c r="G100" s="500"/>
      <c r="H100" s="514">
        <f t="shared" si="17"/>
        <v>176733656.12</v>
      </c>
      <c r="I100" s="514"/>
      <c r="J100" s="515"/>
      <c r="K100" s="506">
        <f>SUM(K101:K103)</f>
        <v>-13459533</v>
      </c>
      <c r="L100" s="507"/>
      <c r="M100" s="507"/>
      <c r="N100" s="507">
        <f t="shared" si="18"/>
        <v>163274123.12</v>
      </c>
      <c r="O100" s="507">
        <f>SUM(O101:O104)</f>
        <v>153447837</v>
      </c>
      <c r="P100" s="397">
        <f aca="true" t="shared" si="24" ref="P100:P112">+O100-N100</f>
        <v>-9826286.120000005</v>
      </c>
      <c r="Q100" s="452">
        <f t="shared" si="20"/>
        <v>0.939817247630979</v>
      </c>
      <c r="R100" s="445"/>
    </row>
    <row r="101" spans="1:18" ht="15.75" customHeight="1" hidden="1" outlineLevel="1">
      <c r="A101" s="436" t="s">
        <v>299</v>
      </c>
      <c r="B101" s="397"/>
      <c r="C101" s="509"/>
      <c r="D101" s="509"/>
      <c r="E101" s="512">
        <v>146733656.12</v>
      </c>
      <c r="F101" s="512">
        <f t="shared" si="16"/>
        <v>146733656.12</v>
      </c>
      <c r="G101" s="500"/>
      <c r="H101" s="512">
        <v>150573798.12</v>
      </c>
      <c r="I101" s="512"/>
      <c r="J101" s="521"/>
      <c r="K101" s="511">
        <v>-7000000</v>
      </c>
      <c r="L101" s="511"/>
      <c r="M101" s="511"/>
      <c r="N101" s="511">
        <f t="shared" si="18"/>
        <v>143573798.12</v>
      </c>
      <c r="O101" s="511">
        <v>141747515</v>
      </c>
      <c r="P101" s="443">
        <f t="shared" si="24"/>
        <v>-1826283.1200000048</v>
      </c>
      <c r="Q101" s="452">
        <f t="shared" si="20"/>
        <v>0.9872798299974374</v>
      </c>
      <c r="R101" s="445"/>
    </row>
    <row r="102" spans="1:18" ht="15.75" customHeight="1" hidden="1" outlineLevel="1">
      <c r="A102" s="436" t="s">
        <v>300</v>
      </c>
      <c r="B102" s="397"/>
      <c r="C102" s="509"/>
      <c r="D102" s="509"/>
      <c r="E102" s="512">
        <v>14000000</v>
      </c>
      <c r="F102" s="512">
        <f t="shared" si="16"/>
        <v>14000000</v>
      </c>
      <c r="G102" s="500"/>
      <c r="H102" s="512">
        <v>13458458</v>
      </c>
      <c r="I102" s="512"/>
      <c r="J102" s="521"/>
      <c r="K102" s="511"/>
      <c r="L102" s="511"/>
      <c r="M102" s="511"/>
      <c r="N102" s="511">
        <f t="shared" si="18"/>
        <v>13458458</v>
      </c>
      <c r="O102" s="511">
        <v>5458455</v>
      </c>
      <c r="P102" s="443">
        <f t="shared" si="24"/>
        <v>-8000003</v>
      </c>
      <c r="Q102" s="452">
        <f>+O102/N102</f>
        <v>0.40557803873222326</v>
      </c>
      <c r="R102" s="445"/>
    </row>
    <row r="103" spans="1:18" ht="15.75" customHeight="1" hidden="1" outlineLevel="1">
      <c r="A103" s="436" t="s">
        <v>413</v>
      </c>
      <c r="B103" s="397"/>
      <c r="C103" s="509"/>
      <c r="D103" s="509"/>
      <c r="E103" s="512">
        <v>16000000</v>
      </c>
      <c r="F103" s="512">
        <f t="shared" si="16"/>
        <v>16000000</v>
      </c>
      <c r="G103" s="500"/>
      <c r="H103" s="512">
        <v>12701400</v>
      </c>
      <c r="I103" s="512"/>
      <c r="J103" s="521"/>
      <c r="K103" s="511">
        <v>-6459533</v>
      </c>
      <c r="L103" s="511"/>
      <c r="M103" s="511"/>
      <c r="N103" s="511">
        <f t="shared" si="18"/>
        <v>6241867</v>
      </c>
      <c r="O103" s="511">
        <v>6241867</v>
      </c>
      <c r="P103" s="443">
        <f t="shared" si="24"/>
        <v>0</v>
      </c>
      <c r="Q103" s="452">
        <f t="shared" si="20"/>
        <v>1</v>
      </c>
      <c r="R103" s="445"/>
    </row>
    <row r="104" spans="1:18" ht="15.75" customHeight="1" hidden="1" outlineLevel="1">
      <c r="A104" s="433"/>
      <c r="B104" s="397"/>
      <c r="C104" s="509"/>
      <c r="D104" s="509"/>
      <c r="E104" s="512"/>
      <c r="F104" s="514"/>
      <c r="G104" s="500"/>
      <c r="H104" s="514"/>
      <c r="I104" s="514"/>
      <c r="J104" s="515"/>
      <c r="K104" s="507"/>
      <c r="L104" s="507"/>
      <c r="M104" s="507"/>
      <c r="N104" s="507"/>
      <c r="O104" s="507"/>
      <c r="P104" s="443"/>
      <c r="Q104" s="452"/>
      <c r="R104" s="445"/>
    </row>
    <row r="105" spans="1:18" ht="15.75" customHeight="1" collapsed="1">
      <c r="A105" s="434" t="s">
        <v>301</v>
      </c>
      <c r="B105" s="397"/>
      <c r="C105" s="509"/>
      <c r="D105" s="509"/>
      <c r="E105" s="504">
        <f>SUM(E106:E108)</f>
        <v>75004555.7824</v>
      </c>
      <c r="F105" s="514">
        <f t="shared" si="16"/>
        <v>75004555.7824</v>
      </c>
      <c r="G105" s="500"/>
      <c r="H105" s="514">
        <f t="shared" si="17"/>
        <v>75004555.7824</v>
      </c>
      <c r="I105" s="514"/>
      <c r="J105" s="515"/>
      <c r="K105" s="506">
        <f>SUM(K106:K108)</f>
        <v>30000000</v>
      </c>
      <c r="L105" s="507"/>
      <c r="M105" s="507"/>
      <c r="N105" s="507">
        <f t="shared" si="18"/>
        <v>105004555.7824</v>
      </c>
      <c r="O105" s="507">
        <f>SUM(O106:O108)</f>
        <v>104951538</v>
      </c>
      <c r="P105" s="397">
        <f t="shared" si="24"/>
        <v>-53017.782399997115</v>
      </c>
      <c r="Q105" s="452">
        <f t="shared" si="20"/>
        <v>0.9994950906462585</v>
      </c>
      <c r="R105" s="445"/>
    </row>
    <row r="106" spans="1:18" ht="15.75" customHeight="1" hidden="1" outlineLevel="1">
      <c r="A106" s="435" t="s">
        <v>302</v>
      </c>
      <c r="B106" s="397"/>
      <c r="C106" s="509"/>
      <c r="D106" s="509"/>
      <c r="E106" s="512">
        <f>37804555.7824+159000</f>
        <v>37963555.7824</v>
      </c>
      <c r="F106" s="512">
        <f>+E106</f>
        <v>37963555.7824</v>
      </c>
      <c r="G106" s="500"/>
      <c r="H106" s="512">
        <f>+F106+G106</f>
        <v>37963555.7824</v>
      </c>
      <c r="I106" s="512"/>
      <c r="J106" s="521"/>
      <c r="K106" s="511">
        <v>30000000</v>
      </c>
      <c r="L106" s="511"/>
      <c r="M106" s="511"/>
      <c r="N106" s="511">
        <f t="shared" si="18"/>
        <v>67963555.7824</v>
      </c>
      <c r="O106" s="511">
        <v>67940944</v>
      </c>
      <c r="P106" s="443">
        <f t="shared" si="24"/>
        <v>-22611.782399997115</v>
      </c>
      <c r="Q106" s="452">
        <f t="shared" si="20"/>
        <v>0.9996672954771173</v>
      </c>
      <c r="R106" s="445"/>
    </row>
    <row r="107" spans="1:18" ht="15.75" customHeight="1" hidden="1" outlineLevel="1">
      <c r="A107" s="435" t="s">
        <v>414</v>
      </c>
      <c r="B107" s="397"/>
      <c r="C107" s="509"/>
      <c r="D107" s="509"/>
      <c r="E107" s="512">
        <v>31200000</v>
      </c>
      <c r="F107" s="512">
        <f>+E107</f>
        <v>31200000</v>
      </c>
      <c r="G107" s="500"/>
      <c r="H107" s="512">
        <f>+F107+G107</f>
        <v>31200000</v>
      </c>
      <c r="I107" s="512"/>
      <c r="J107" s="521"/>
      <c r="K107" s="511"/>
      <c r="L107" s="511"/>
      <c r="M107" s="511"/>
      <c r="N107" s="511">
        <f t="shared" si="18"/>
        <v>31200000</v>
      </c>
      <c r="O107" s="511">
        <v>31169594</v>
      </c>
      <c r="P107" s="443">
        <f t="shared" si="24"/>
        <v>-30406</v>
      </c>
      <c r="Q107" s="452">
        <f t="shared" si="20"/>
        <v>0.9990254487179487</v>
      </c>
      <c r="R107" s="445"/>
    </row>
    <row r="108" spans="1:18" ht="15.75" customHeight="1" hidden="1" outlineLevel="1">
      <c r="A108" s="435" t="s">
        <v>415</v>
      </c>
      <c r="B108" s="397"/>
      <c r="C108" s="509"/>
      <c r="D108" s="509"/>
      <c r="E108" s="512">
        <f>6000000-159000</f>
        <v>5841000</v>
      </c>
      <c r="F108" s="512">
        <f>+E108</f>
        <v>5841000</v>
      </c>
      <c r="G108" s="500"/>
      <c r="H108" s="512">
        <f>+F108+G108</f>
        <v>5841000</v>
      </c>
      <c r="I108" s="512"/>
      <c r="J108" s="521"/>
      <c r="K108" s="511"/>
      <c r="L108" s="511"/>
      <c r="M108" s="511"/>
      <c r="N108" s="511">
        <f t="shared" si="18"/>
        <v>5841000</v>
      </c>
      <c r="O108" s="511">
        <v>5841000</v>
      </c>
      <c r="P108" s="443">
        <f t="shared" si="24"/>
        <v>0</v>
      </c>
      <c r="Q108" s="452">
        <f t="shared" si="20"/>
        <v>1</v>
      </c>
      <c r="R108" s="445"/>
    </row>
    <row r="109" spans="1:18" ht="15.75" customHeight="1" collapsed="1">
      <c r="A109" s="434" t="s">
        <v>416</v>
      </c>
      <c r="B109" s="397"/>
      <c r="C109" s="509"/>
      <c r="D109" s="509"/>
      <c r="E109" s="504">
        <f>SUM(E110)</f>
        <v>131900000</v>
      </c>
      <c r="F109" s="514">
        <f>+E109+D109+C109+B109</f>
        <v>131900000</v>
      </c>
      <c r="G109" s="500"/>
      <c r="H109" s="514">
        <f>+F109+G109</f>
        <v>131900000</v>
      </c>
      <c r="I109" s="514"/>
      <c r="J109" s="515"/>
      <c r="K109" s="506">
        <f>SUM(K110)</f>
        <v>0</v>
      </c>
      <c r="L109" s="507"/>
      <c r="M109" s="507"/>
      <c r="N109" s="507">
        <f t="shared" si="18"/>
        <v>131900000</v>
      </c>
      <c r="O109" s="507">
        <f>+O110</f>
        <v>130886502</v>
      </c>
      <c r="P109" s="397">
        <f t="shared" si="24"/>
        <v>-1013498</v>
      </c>
      <c r="Q109" s="452">
        <f t="shared" si="20"/>
        <v>0.9923161637604245</v>
      </c>
      <c r="R109" s="445"/>
    </row>
    <row r="110" spans="1:18" ht="15.75" customHeight="1" hidden="1" outlineLevel="1">
      <c r="A110" s="435" t="s">
        <v>417</v>
      </c>
      <c r="B110" s="397"/>
      <c r="C110" s="509"/>
      <c r="D110" s="509"/>
      <c r="E110" s="512">
        <v>131900000</v>
      </c>
      <c r="F110" s="512">
        <v>131900000</v>
      </c>
      <c r="G110" s="500"/>
      <c r="H110" s="512">
        <v>131900000</v>
      </c>
      <c r="I110" s="512"/>
      <c r="J110" s="521"/>
      <c r="K110" s="511"/>
      <c r="L110" s="511"/>
      <c r="M110" s="511"/>
      <c r="N110" s="511">
        <f>+H110+I110+J110</f>
        <v>131900000</v>
      </c>
      <c r="O110" s="511">
        <v>130886502</v>
      </c>
      <c r="P110" s="443">
        <f t="shared" si="24"/>
        <v>-1013498</v>
      </c>
      <c r="Q110" s="452">
        <f>+O110/N110</f>
        <v>0.9923161637604245</v>
      </c>
      <c r="R110" s="445"/>
    </row>
    <row r="111" spans="1:18" s="373" customFormat="1" ht="15.75" customHeight="1" collapsed="1">
      <c r="A111" s="435"/>
      <c r="B111" s="397"/>
      <c r="C111" s="509"/>
      <c r="D111" s="509"/>
      <c r="E111" s="512"/>
      <c r="F111" s="512"/>
      <c r="G111" s="500"/>
      <c r="H111" s="514"/>
      <c r="I111" s="514"/>
      <c r="J111" s="515"/>
      <c r="K111" s="507"/>
      <c r="L111" s="507"/>
      <c r="M111" s="507"/>
      <c r="N111" s="507"/>
      <c r="O111" s="507"/>
      <c r="P111" s="397"/>
      <c r="Q111" s="452"/>
      <c r="R111" s="445"/>
    </row>
    <row r="112" spans="1:18" s="373" customFormat="1" ht="15.75" customHeight="1">
      <c r="A112" s="431" t="s">
        <v>12</v>
      </c>
      <c r="B112" s="397"/>
      <c r="C112" s="514">
        <f>+C113+C117+C130+C135</f>
        <v>680455080</v>
      </c>
      <c r="D112" s="509"/>
      <c r="E112" s="500"/>
      <c r="F112" s="514">
        <v>680455080</v>
      </c>
      <c r="G112" s="509"/>
      <c r="H112" s="514">
        <f>+F112+G112</f>
        <v>680455080</v>
      </c>
      <c r="I112" s="514"/>
      <c r="J112" s="515">
        <f>+J113+J117+J130+J135</f>
        <v>35000000</v>
      </c>
      <c r="K112" s="506">
        <f>+K113+K117+K130+K135</f>
        <v>120410000</v>
      </c>
      <c r="L112" s="506">
        <f>+L113+L117+L130+L135</f>
        <v>-106019498</v>
      </c>
      <c r="M112" s="506">
        <f>+M113+M117+M130+M135</f>
        <v>0</v>
      </c>
      <c r="N112" s="506">
        <f aca="true" t="shared" si="25" ref="N112:N135">SUM(H112:M112)</f>
        <v>729845582</v>
      </c>
      <c r="O112" s="506">
        <f>+O113+O117+O130+O135</f>
        <v>720045642</v>
      </c>
      <c r="P112" s="397">
        <f t="shared" si="24"/>
        <v>-9799940</v>
      </c>
      <c r="Q112" s="452">
        <f>+O112/N112</f>
        <v>0.9865725843360658</v>
      </c>
      <c r="R112" s="445"/>
    </row>
    <row r="113" spans="1:18" s="373" customFormat="1" ht="15.75" customHeight="1">
      <c r="A113" s="432" t="s">
        <v>179</v>
      </c>
      <c r="B113" s="397"/>
      <c r="C113" s="397">
        <f>+C114+C115+C116</f>
        <v>60000000</v>
      </c>
      <c r="D113" s="509"/>
      <c r="E113" s="500"/>
      <c r="F113" s="514">
        <v>60000000</v>
      </c>
      <c r="G113" s="500"/>
      <c r="H113" s="514">
        <f>+F113+G113</f>
        <v>60000000</v>
      </c>
      <c r="I113" s="514"/>
      <c r="J113" s="515"/>
      <c r="K113" s="519">
        <f>+K114+K115+K116</f>
        <v>0</v>
      </c>
      <c r="L113" s="520"/>
      <c r="M113" s="520"/>
      <c r="N113" s="520">
        <f t="shared" si="25"/>
        <v>60000000</v>
      </c>
      <c r="O113" s="520">
        <f>SUM(O114:O116)</f>
        <v>60000000</v>
      </c>
      <c r="P113" s="397">
        <f aca="true" t="shared" si="26" ref="P113:P122">+O113-N113</f>
        <v>0</v>
      </c>
      <c r="Q113" s="452">
        <f aca="true" t="shared" si="27" ref="Q113:Q139">+O113/N113</f>
        <v>1</v>
      </c>
      <c r="R113" s="445"/>
    </row>
    <row r="114" spans="1:18" s="373" customFormat="1" ht="15.75" customHeight="1" hidden="1" outlineLevel="1">
      <c r="A114" s="436" t="s">
        <v>288</v>
      </c>
      <c r="B114" s="397"/>
      <c r="C114" s="398">
        <v>60000000</v>
      </c>
      <c r="D114" s="509"/>
      <c r="E114" s="526"/>
      <c r="F114" s="509">
        <v>60000000</v>
      </c>
      <c r="G114" s="526"/>
      <c r="H114" s="512">
        <v>60000000</v>
      </c>
      <c r="I114" s="512"/>
      <c r="J114" s="521"/>
      <c r="K114" s="511"/>
      <c r="L114" s="511"/>
      <c r="M114" s="511"/>
      <c r="N114" s="511">
        <f t="shared" si="25"/>
        <v>60000000</v>
      </c>
      <c r="O114" s="511">
        <v>60000000</v>
      </c>
      <c r="P114" s="443">
        <f t="shared" si="26"/>
        <v>0</v>
      </c>
      <c r="Q114" s="452">
        <f t="shared" si="27"/>
        <v>1</v>
      </c>
      <c r="R114" s="445"/>
    </row>
    <row r="115" spans="1:18" s="373" customFormat="1" ht="15.75" customHeight="1" hidden="1" outlineLevel="1">
      <c r="A115" s="436" t="s">
        <v>289</v>
      </c>
      <c r="B115" s="397"/>
      <c r="C115" s="398">
        <v>0</v>
      </c>
      <c r="D115" s="509"/>
      <c r="E115" s="526"/>
      <c r="F115" s="398">
        <v>0</v>
      </c>
      <c r="G115" s="526"/>
      <c r="H115" s="398">
        <v>0</v>
      </c>
      <c r="I115" s="398"/>
      <c r="J115" s="530"/>
      <c r="K115" s="531"/>
      <c r="L115" s="531"/>
      <c r="M115" s="531"/>
      <c r="N115" s="531">
        <f t="shared" si="25"/>
        <v>0</v>
      </c>
      <c r="O115" s="531">
        <v>0</v>
      </c>
      <c r="P115" s="443">
        <f t="shared" si="26"/>
        <v>0</v>
      </c>
      <c r="Q115" s="452">
        <v>0</v>
      </c>
      <c r="R115" s="445"/>
    </row>
    <row r="116" spans="1:18" s="373" customFormat="1" ht="15.75" customHeight="1" hidden="1" outlineLevel="1">
      <c r="A116" s="436" t="s">
        <v>290</v>
      </c>
      <c r="B116" s="397"/>
      <c r="C116" s="398">
        <v>0</v>
      </c>
      <c r="D116" s="509"/>
      <c r="E116" s="526"/>
      <c r="F116" s="398">
        <v>0</v>
      </c>
      <c r="G116" s="526"/>
      <c r="H116" s="398">
        <v>0</v>
      </c>
      <c r="I116" s="398"/>
      <c r="J116" s="530"/>
      <c r="K116" s="531"/>
      <c r="L116" s="531"/>
      <c r="M116" s="531"/>
      <c r="N116" s="531">
        <f t="shared" si="25"/>
        <v>0</v>
      </c>
      <c r="O116" s="531">
        <v>0</v>
      </c>
      <c r="P116" s="443">
        <f t="shared" si="26"/>
        <v>0</v>
      </c>
      <c r="Q116" s="452">
        <v>0</v>
      </c>
      <c r="R116" s="445"/>
    </row>
    <row r="117" spans="1:18" s="373" customFormat="1" ht="15.75" customHeight="1" collapsed="1">
      <c r="A117" s="432" t="s">
        <v>13</v>
      </c>
      <c r="B117" s="514"/>
      <c r="C117" s="514">
        <f>+C118+C122+C128</f>
        <v>263505064</v>
      </c>
      <c r="D117" s="500"/>
      <c r="E117" s="500"/>
      <c r="F117" s="514">
        <f aca="true" t="shared" si="28" ref="F117:F129">+B117+C117+D117+E117</f>
        <v>263505064</v>
      </c>
      <c r="G117" s="500"/>
      <c r="H117" s="514">
        <f>+F117+G117</f>
        <v>263505064</v>
      </c>
      <c r="I117" s="506"/>
      <c r="J117" s="506"/>
      <c r="K117" s="506">
        <f>+K118+K122+K128</f>
        <v>120410000</v>
      </c>
      <c r="L117" s="507"/>
      <c r="M117" s="507"/>
      <c r="N117" s="507">
        <f t="shared" si="25"/>
        <v>383915064</v>
      </c>
      <c r="O117" s="507">
        <f>+O118+O122+O128</f>
        <v>383902769</v>
      </c>
      <c r="P117" s="397">
        <f t="shared" si="26"/>
        <v>-12295</v>
      </c>
      <c r="Q117" s="452">
        <f t="shared" si="27"/>
        <v>0.9999679746872344</v>
      </c>
      <c r="R117" s="445"/>
    </row>
    <row r="118" spans="1:18" s="373" customFormat="1" ht="15.75" customHeight="1" hidden="1" outlineLevel="1">
      <c r="A118" s="399" t="s">
        <v>500</v>
      </c>
      <c r="B118" s="509"/>
      <c r="C118" s="523">
        <f>+C119+C120+C121</f>
        <v>88550693</v>
      </c>
      <c r="D118" s="500"/>
      <c r="E118" s="500"/>
      <c r="F118" s="512">
        <f t="shared" si="28"/>
        <v>88550693</v>
      </c>
      <c r="G118" s="500"/>
      <c r="H118" s="512">
        <f aca="true" t="shared" si="29" ref="H118:H129">+F118+G118</f>
        <v>88550693</v>
      </c>
      <c r="I118" s="512"/>
      <c r="J118" s="521"/>
      <c r="K118" s="513">
        <f>SUM(K119:K121)</f>
        <v>120410000</v>
      </c>
      <c r="L118" s="511"/>
      <c r="M118" s="511"/>
      <c r="N118" s="511">
        <f t="shared" si="25"/>
        <v>208960693</v>
      </c>
      <c r="O118" s="511">
        <f>SUM(O119:O121)</f>
        <v>208951248</v>
      </c>
      <c r="P118" s="397">
        <f t="shared" si="26"/>
        <v>-9445</v>
      </c>
      <c r="Q118" s="452">
        <f t="shared" si="27"/>
        <v>0.9999548001116172</v>
      </c>
      <c r="R118" s="445"/>
    </row>
    <row r="119" spans="1:18" s="373" customFormat="1" ht="15.75" customHeight="1" hidden="1" outlineLevel="2">
      <c r="A119" s="392" t="s">
        <v>501</v>
      </c>
      <c r="B119" s="509"/>
      <c r="C119" s="523">
        <f>22400000+1767100-9726</f>
        <v>24157374</v>
      </c>
      <c r="D119" s="500"/>
      <c r="E119" s="500"/>
      <c r="F119" s="512">
        <f t="shared" si="28"/>
        <v>24157374</v>
      </c>
      <c r="G119" s="500"/>
      <c r="H119" s="512">
        <f t="shared" si="29"/>
        <v>24157374</v>
      </c>
      <c r="I119" s="512"/>
      <c r="J119" s="521"/>
      <c r="K119" s="511"/>
      <c r="L119" s="511"/>
      <c r="M119" s="511"/>
      <c r="N119" s="511">
        <f t="shared" si="25"/>
        <v>24157374</v>
      </c>
      <c r="O119" s="511">
        <v>24157374</v>
      </c>
      <c r="P119" s="443">
        <f t="shared" si="26"/>
        <v>0</v>
      </c>
      <c r="Q119" s="452">
        <f t="shared" si="27"/>
        <v>1</v>
      </c>
      <c r="R119" s="445"/>
    </row>
    <row r="120" spans="1:18" s="373" customFormat="1" ht="15.75" customHeight="1" hidden="1" outlineLevel="2">
      <c r="A120" s="392" t="s">
        <v>502</v>
      </c>
      <c r="B120" s="509"/>
      <c r="C120" s="523">
        <f>21200000-1767100+9726</f>
        <v>19442626</v>
      </c>
      <c r="D120" s="500"/>
      <c r="E120" s="500"/>
      <c r="F120" s="512">
        <f t="shared" si="28"/>
        <v>19442626</v>
      </c>
      <c r="G120" s="500"/>
      <c r="H120" s="512">
        <f t="shared" si="29"/>
        <v>19442626</v>
      </c>
      <c r="I120" s="512"/>
      <c r="J120" s="521"/>
      <c r="K120" s="511"/>
      <c r="L120" s="511"/>
      <c r="M120" s="511"/>
      <c r="N120" s="511">
        <f t="shared" si="25"/>
        <v>19442626</v>
      </c>
      <c r="O120" s="511">
        <v>19439400</v>
      </c>
      <c r="P120" s="443">
        <f t="shared" si="26"/>
        <v>-3226</v>
      </c>
      <c r="Q120" s="452">
        <f t="shared" si="27"/>
        <v>0.9998340759113507</v>
      </c>
      <c r="R120" s="445"/>
    </row>
    <row r="121" spans="1:18" s="373" customFormat="1" ht="15.75" customHeight="1" hidden="1" outlineLevel="2">
      <c r="A121" s="392" t="s">
        <v>503</v>
      </c>
      <c r="B121" s="509"/>
      <c r="C121" s="522">
        <f>14310000+30000000+244675+396018</f>
        <v>44950693</v>
      </c>
      <c r="D121" s="500"/>
      <c r="E121" s="500"/>
      <c r="F121" s="512">
        <f t="shared" si="28"/>
        <v>44950693</v>
      </c>
      <c r="G121" s="500"/>
      <c r="H121" s="512">
        <f t="shared" si="29"/>
        <v>44950693</v>
      </c>
      <c r="I121" s="512"/>
      <c r="J121" s="521"/>
      <c r="K121" s="511">
        <v>120410000</v>
      </c>
      <c r="L121" s="511"/>
      <c r="M121" s="511"/>
      <c r="N121" s="511">
        <f t="shared" si="25"/>
        <v>165360693</v>
      </c>
      <c r="O121" s="511">
        <v>165354474</v>
      </c>
      <c r="P121" s="443">
        <f t="shared" si="26"/>
        <v>-6219</v>
      </c>
      <c r="Q121" s="452">
        <f t="shared" si="27"/>
        <v>0.999962391304202</v>
      </c>
      <c r="R121" s="445"/>
    </row>
    <row r="122" spans="1:18" s="373" customFormat="1" ht="15.75" customHeight="1" hidden="1" outlineLevel="1">
      <c r="A122" s="399" t="s">
        <v>504</v>
      </c>
      <c r="B122" s="509"/>
      <c r="C122" s="523">
        <f>+C123+C124+C125+C126+C127</f>
        <v>164954371</v>
      </c>
      <c r="D122" s="500"/>
      <c r="E122" s="500"/>
      <c r="F122" s="512">
        <f t="shared" si="28"/>
        <v>164954371</v>
      </c>
      <c r="G122" s="500"/>
      <c r="H122" s="512">
        <f t="shared" si="29"/>
        <v>164954371</v>
      </c>
      <c r="I122" s="512"/>
      <c r="J122" s="521"/>
      <c r="K122" s="506"/>
      <c r="L122" s="507"/>
      <c r="M122" s="507"/>
      <c r="N122" s="507">
        <f t="shared" si="25"/>
        <v>164954371</v>
      </c>
      <c r="O122" s="507">
        <f>SUM(O123:O127)</f>
        <v>164951844</v>
      </c>
      <c r="P122" s="397">
        <f t="shared" si="26"/>
        <v>-2527</v>
      </c>
      <c r="Q122" s="452">
        <f t="shared" si="27"/>
        <v>0.9999846806120706</v>
      </c>
      <c r="R122" s="445"/>
    </row>
    <row r="123" spans="1:18" s="373" customFormat="1" ht="15.75" customHeight="1" hidden="1" outlineLevel="2">
      <c r="A123" s="392" t="s">
        <v>505</v>
      </c>
      <c r="B123" s="509"/>
      <c r="C123" s="522">
        <f>48000000-14091579-244675</f>
        <v>33663746</v>
      </c>
      <c r="D123" s="500"/>
      <c r="E123" s="500"/>
      <c r="F123" s="512">
        <f t="shared" si="28"/>
        <v>33663746</v>
      </c>
      <c r="G123" s="500"/>
      <c r="H123" s="512">
        <f t="shared" si="29"/>
        <v>33663746</v>
      </c>
      <c r="I123" s="512"/>
      <c r="J123" s="521"/>
      <c r="K123" s="511"/>
      <c r="L123" s="511"/>
      <c r="M123" s="511"/>
      <c r="N123" s="511">
        <f t="shared" si="25"/>
        <v>33663746</v>
      </c>
      <c r="O123" s="511">
        <v>33663190</v>
      </c>
      <c r="P123" s="443">
        <f aca="true" t="shared" si="30" ref="P123:P128">+O123-N123</f>
        <v>-556</v>
      </c>
      <c r="Q123" s="452">
        <f t="shared" si="27"/>
        <v>0.9999834837156863</v>
      </c>
      <c r="R123" s="445"/>
    </row>
    <row r="124" spans="1:18" s="373" customFormat="1" ht="15.75" customHeight="1" hidden="1" outlineLevel="2">
      <c r="A124" s="392" t="s">
        <v>506</v>
      </c>
      <c r="B124" s="509"/>
      <c r="C124" s="522">
        <f>133595064-40000000+14091579+160294+420000-396018-70000</f>
        <v>107800919</v>
      </c>
      <c r="D124" s="500"/>
      <c r="E124" s="500"/>
      <c r="F124" s="512">
        <f t="shared" si="28"/>
        <v>107800919</v>
      </c>
      <c r="G124" s="500"/>
      <c r="H124" s="512">
        <f t="shared" si="29"/>
        <v>107800919</v>
      </c>
      <c r="I124" s="512"/>
      <c r="J124" s="521"/>
      <c r="K124" s="511"/>
      <c r="L124" s="511"/>
      <c r="M124" s="511"/>
      <c r="N124" s="511">
        <f t="shared" si="25"/>
        <v>107800919</v>
      </c>
      <c r="O124" s="511">
        <v>107800919</v>
      </c>
      <c r="P124" s="443">
        <f t="shared" si="30"/>
        <v>0</v>
      </c>
      <c r="Q124" s="452">
        <f>+O124/N124</f>
        <v>1</v>
      </c>
      <c r="R124" s="445"/>
    </row>
    <row r="125" spans="1:18" s="373" customFormat="1" ht="15.75" customHeight="1" hidden="1" outlineLevel="2">
      <c r="A125" s="392" t="s">
        <v>507</v>
      </c>
      <c r="B125" s="509"/>
      <c r="C125" s="522">
        <f>9000000-160294+70000</f>
        <v>8909706</v>
      </c>
      <c r="D125" s="500"/>
      <c r="E125" s="500"/>
      <c r="F125" s="512">
        <f t="shared" si="28"/>
        <v>8909706</v>
      </c>
      <c r="G125" s="500"/>
      <c r="H125" s="512">
        <f t="shared" si="29"/>
        <v>8909706</v>
      </c>
      <c r="I125" s="512"/>
      <c r="J125" s="521"/>
      <c r="K125" s="511"/>
      <c r="L125" s="511"/>
      <c r="M125" s="511"/>
      <c r="N125" s="511">
        <f t="shared" si="25"/>
        <v>8909706</v>
      </c>
      <c r="O125" s="511">
        <v>8907735</v>
      </c>
      <c r="P125" s="443">
        <f t="shared" si="30"/>
        <v>-1971</v>
      </c>
      <c r="Q125" s="452">
        <f t="shared" si="27"/>
        <v>0.9997787805792918</v>
      </c>
      <c r="R125" s="445"/>
    </row>
    <row r="126" spans="1:18" s="373" customFormat="1" ht="15.75" customHeight="1" hidden="1" outlineLevel="2">
      <c r="A126" s="392" t="s">
        <v>508</v>
      </c>
      <c r="B126" s="509"/>
      <c r="C126" s="522">
        <f>6000000-420000</f>
        <v>5580000</v>
      </c>
      <c r="D126" s="500"/>
      <c r="E126" s="500"/>
      <c r="F126" s="512">
        <f t="shared" si="28"/>
        <v>5580000</v>
      </c>
      <c r="G126" s="500"/>
      <c r="H126" s="512">
        <f t="shared" si="29"/>
        <v>5580000</v>
      </c>
      <c r="I126" s="512"/>
      <c r="J126" s="521"/>
      <c r="K126" s="511"/>
      <c r="L126" s="511"/>
      <c r="M126" s="511"/>
      <c r="N126" s="511">
        <f t="shared" si="25"/>
        <v>5580000</v>
      </c>
      <c r="O126" s="511">
        <v>5580000</v>
      </c>
      <c r="P126" s="443">
        <f t="shared" si="30"/>
        <v>0</v>
      </c>
      <c r="Q126" s="452">
        <f t="shared" si="27"/>
        <v>1</v>
      </c>
      <c r="R126" s="445"/>
    </row>
    <row r="127" spans="1:18" s="373" customFormat="1" ht="15.75" customHeight="1" hidden="1" outlineLevel="2">
      <c r="A127" s="392" t="s">
        <v>509</v>
      </c>
      <c r="B127" s="509"/>
      <c r="C127" s="522">
        <v>9000000</v>
      </c>
      <c r="D127" s="500"/>
      <c r="E127" s="500"/>
      <c r="F127" s="512">
        <f t="shared" si="28"/>
        <v>9000000</v>
      </c>
      <c r="G127" s="500"/>
      <c r="H127" s="512">
        <f t="shared" si="29"/>
        <v>9000000</v>
      </c>
      <c r="I127" s="512"/>
      <c r="J127" s="521"/>
      <c r="K127" s="511"/>
      <c r="L127" s="511"/>
      <c r="M127" s="511"/>
      <c r="N127" s="511">
        <f t="shared" si="25"/>
        <v>9000000</v>
      </c>
      <c r="O127" s="511">
        <v>9000000</v>
      </c>
      <c r="P127" s="443">
        <f t="shared" si="30"/>
        <v>0</v>
      </c>
      <c r="Q127" s="452">
        <f t="shared" si="27"/>
        <v>1</v>
      </c>
      <c r="R127" s="445"/>
    </row>
    <row r="128" spans="1:18" s="373" customFormat="1" ht="15.75" customHeight="1" hidden="1" outlineLevel="1">
      <c r="A128" s="399" t="s">
        <v>510</v>
      </c>
      <c r="B128" s="509"/>
      <c r="C128" s="522">
        <f>+C129</f>
        <v>10000000</v>
      </c>
      <c r="D128" s="500"/>
      <c r="E128" s="500"/>
      <c r="F128" s="512">
        <f t="shared" si="28"/>
        <v>10000000</v>
      </c>
      <c r="G128" s="500"/>
      <c r="H128" s="512">
        <f t="shared" si="29"/>
        <v>10000000</v>
      </c>
      <c r="I128" s="512"/>
      <c r="J128" s="521"/>
      <c r="K128" s="511"/>
      <c r="L128" s="511"/>
      <c r="M128" s="511"/>
      <c r="N128" s="511">
        <f t="shared" si="25"/>
        <v>10000000</v>
      </c>
      <c r="O128" s="511">
        <f>+O129</f>
        <v>9999677</v>
      </c>
      <c r="P128" s="397">
        <f t="shared" si="30"/>
        <v>-323</v>
      </c>
      <c r="Q128" s="452">
        <f t="shared" si="27"/>
        <v>0.9999677</v>
      </c>
      <c r="R128" s="445"/>
    </row>
    <row r="129" spans="1:18" s="373" customFormat="1" ht="15.75" customHeight="1" hidden="1" outlineLevel="2">
      <c r="A129" s="392" t="s">
        <v>511</v>
      </c>
      <c r="B129" s="509"/>
      <c r="C129" s="509">
        <v>10000000</v>
      </c>
      <c r="D129" s="500"/>
      <c r="E129" s="500"/>
      <c r="F129" s="512">
        <f t="shared" si="28"/>
        <v>10000000</v>
      </c>
      <c r="G129" s="500"/>
      <c r="H129" s="512">
        <f t="shared" si="29"/>
        <v>10000000</v>
      </c>
      <c r="I129" s="512"/>
      <c r="J129" s="521"/>
      <c r="K129" s="511"/>
      <c r="L129" s="511"/>
      <c r="M129" s="511"/>
      <c r="N129" s="511">
        <f t="shared" si="25"/>
        <v>10000000</v>
      </c>
      <c r="O129" s="511">
        <v>9999677</v>
      </c>
      <c r="P129" s="443">
        <f>+O129-N129</f>
        <v>-323</v>
      </c>
      <c r="Q129" s="452">
        <f t="shared" si="27"/>
        <v>0.9999677</v>
      </c>
      <c r="R129" s="445"/>
    </row>
    <row r="130" spans="1:18" s="373" customFormat="1" ht="15.75" customHeight="1" collapsed="1">
      <c r="A130" s="391" t="s">
        <v>0</v>
      </c>
      <c r="B130" s="514"/>
      <c r="C130" s="514">
        <f>+C131+C132+C133+C134</f>
        <v>122000016</v>
      </c>
      <c r="D130" s="500"/>
      <c r="E130" s="500"/>
      <c r="F130" s="514">
        <f aca="true" t="shared" si="31" ref="F130:F137">+B130+C130+D130+E130</f>
        <v>122000016</v>
      </c>
      <c r="G130" s="500"/>
      <c r="H130" s="514">
        <f>+F130+G130</f>
        <v>122000016</v>
      </c>
      <c r="I130" s="514"/>
      <c r="J130" s="515"/>
      <c r="K130" s="506">
        <f>+K131+K132+K133+K134</f>
        <v>0</v>
      </c>
      <c r="L130" s="507"/>
      <c r="M130" s="507"/>
      <c r="N130" s="507">
        <f t="shared" si="25"/>
        <v>122000016</v>
      </c>
      <c r="O130" s="507">
        <f>SUM(O131:O134)</f>
        <v>121992140</v>
      </c>
      <c r="P130" s="397">
        <f aca="true" t="shared" si="32" ref="P130:P167">+O130-N130</f>
        <v>-7876</v>
      </c>
      <c r="Q130" s="452">
        <f t="shared" si="27"/>
        <v>0.9999354426314173</v>
      </c>
      <c r="R130" s="445"/>
    </row>
    <row r="131" spans="1:18" s="373" customFormat="1" ht="15.75" customHeight="1" hidden="1" outlineLevel="1">
      <c r="A131" s="399" t="s">
        <v>494</v>
      </c>
      <c r="B131" s="514"/>
      <c r="C131" s="509">
        <f>26000000+8000000-337343</f>
        <v>33662657</v>
      </c>
      <c r="D131" s="500"/>
      <c r="E131" s="500"/>
      <c r="F131" s="512">
        <f t="shared" si="31"/>
        <v>33662657</v>
      </c>
      <c r="G131" s="526"/>
      <c r="H131" s="512">
        <f aca="true" t="shared" si="33" ref="H131:H137">+F131+G131</f>
        <v>33662657</v>
      </c>
      <c r="I131" s="512"/>
      <c r="J131" s="521"/>
      <c r="K131" s="511"/>
      <c r="L131" s="511"/>
      <c r="M131" s="511"/>
      <c r="N131" s="511">
        <f t="shared" si="25"/>
        <v>33662657</v>
      </c>
      <c r="O131" s="511">
        <v>33662657</v>
      </c>
      <c r="P131" s="444">
        <f t="shared" si="32"/>
        <v>0</v>
      </c>
      <c r="Q131" s="452">
        <f t="shared" si="27"/>
        <v>1</v>
      </c>
      <c r="R131" s="445"/>
    </row>
    <row r="132" spans="1:18" s="373" customFormat="1" ht="15.75" customHeight="1" hidden="1" outlineLevel="1">
      <c r="A132" s="399" t="s">
        <v>495</v>
      </c>
      <c r="B132" s="514"/>
      <c r="C132" s="509">
        <f>44000016-1509587</f>
        <v>42490429</v>
      </c>
      <c r="D132" s="509"/>
      <c r="E132" s="500"/>
      <c r="F132" s="512">
        <f t="shared" si="31"/>
        <v>42490429</v>
      </c>
      <c r="G132" s="526"/>
      <c r="H132" s="512">
        <f t="shared" si="33"/>
        <v>42490429</v>
      </c>
      <c r="I132" s="512"/>
      <c r="J132" s="521"/>
      <c r="K132" s="511"/>
      <c r="L132" s="511"/>
      <c r="M132" s="511"/>
      <c r="N132" s="511">
        <f t="shared" si="25"/>
        <v>42490429</v>
      </c>
      <c r="O132" s="511">
        <v>42490429</v>
      </c>
      <c r="P132" s="444">
        <f t="shared" si="32"/>
        <v>0</v>
      </c>
      <c r="Q132" s="452">
        <f t="shared" si="27"/>
        <v>1</v>
      </c>
      <c r="R132" s="445"/>
    </row>
    <row r="133" spans="1:18" s="373" customFormat="1" ht="15.75" customHeight="1" hidden="1" outlineLevel="1">
      <c r="A133" s="399" t="s">
        <v>496</v>
      </c>
      <c r="B133" s="514"/>
      <c r="C133" s="509">
        <f>52000000-8000000+337343+1509587</f>
        <v>45846930</v>
      </c>
      <c r="D133" s="509"/>
      <c r="E133" s="500"/>
      <c r="F133" s="512">
        <f t="shared" si="31"/>
        <v>45846930</v>
      </c>
      <c r="G133" s="526"/>
      <c r="H133" s="512">
        <f t="shared" si="33"/>
        <v>45846930</v>
      </c>
      <c r="I133" s="512"/>
      <c r="J133" s="521"/>
      <c r="K133" s="511"/>
      <c r="L133" s="511"/>
      <c r="M133" s="511"/>
      <c r="N133" s="511">
        <f t="shared" si="25"/>
        <v>45846930</v>
      </c>
      <c r="O133" s="511">
        <v>45839054</v>
      </c>
      <c r="P133" s="444">
        <f t="shared" si="32"/>
        <v>-7876</v>
      </c>
      <c r="Q133" s="452">
        <f t="shared" si="27"/>
        <v>0.999828210961999</v>
      </c>
      <c r="R133" s="445"/>
    </row>
    <row r="134" spans="1:18" s="373" customFormat="1" ht="15.75" customHeight="1" hidden="1" outlineLevel="1">
      <c r="A134" s="399" t="s">
        <v>497</v>
      </c>
      <c r="B134" s="514"/>
      <c r="C134" s="509">
        <v>0</v>
      </c>
      <c r="D134" s="509"/>
      <c r="E134" s="500"/>
      <c r="F134" s="512">
        <f t="shared" si="31"/>
        <v>0</v>
      </c>
      <c r="G134" s="526"/>
      <c r="H134" s="512">
        <f t="shared" si="33"/>
        <v>0</v>
      </c>
      <c r="I134" s="512"/>
      <c r="J134" s="521"/>
      <c r="K134" s="511"/>
      <c r="L134" s="511"/>
      <c r="M134" s="511"/>
      <c r="N134" s="511">
        <f t="shared" si="25"/>
        <v>0</v>
      </c>
      <c r="O134" s="511">
        <v>0</v>
      </c>
      <c r="P134" s="444">
        <f t="shared" si="32"/>
        <v>0</v>
      </c>
      <c r="Q134" s="452">
        <v>0</v>
      </c>
      <c r="R134" s="445"/>
    </row>
    <row r="135" spans="1:18" s="373" customFormat="1" ht="15.75" customHeight="1" collapsed="1">
      <c r="A135" s="391" t="s">
        <v>271</v>
      </c>
      <c r="B135" s="512"/>
      <c r="C135" s="504">
        <f>+C136+C137</f>
        <v>234950000</v>
      </c>
      <c r="D135" s="525"/>
      <c r="E135" s="525"/>
      <c r="F135" s="504">
        <f t="shared" si="31"/>
        <v>234950000</v>
      </c>
      <c r="G135" s="525"/>
      <c r="H135" s="514">
        <f t="shared" si="33"/>
        <v>234950000</v>
      </c>
      <c r="I135" s="514"/>
      <c r="J135" s="514">
        <f>+J136+J137</f>
        <v>35000000</v>
      </c>
      <c r="K135" s="506">
        <f>+K136+K137</f>
        <v>0</v>
      </c>
      <c r="L135" s="506">
        <f>+L136+L137</f>
        <v>-106019498</v>
      </c>
      <c r="M135" s="506">
        <f>+M136+M137</f>
        <v>0</v>
      </c>
      <c r="N135" s="506">
        <f t="shared" si="25"/>
        <v>163930502</v>
      </c>
      <c r="O135" s="506">
        <f>SUM(O136:O137)</f>
        <v>154150733</v>
      </c>
      <c r="P135" s="397">
        <f t="shared" si="32"/>
        <v>-9779769</v>
      </c>
      <c r="Q135" s="452">
        <f t="shared" si="27"/>
        <v>0.9403419810182733</v>
      </c>
      <c r="R135" s="445"/>
    </row>
    <row r="136" spans="1:18" s="373" customFormat="1" ht="15.75" customHeight="1" hidden="1" outlineLevel="1">
      <c r="A136" s="399" t="s">
        <v>498</v>
      </c>
      <c r="B136" s="532"/>
      <c r="C136" s="523">
        <v>74950000</v>
      </c>
      <c r="D136" s="522"/>
      <c r="E136" s="533"/>
      <c r="F136" s="523">
        <f t="shared" si="31"/>
        <v>74950000</v>
      </c>
      <c r="G136" s="534"/>
      <c r="H136" s="523">
        <f t="shared" si="33"/>
        <v>74950000</v>
      </c>
      <c r="I136" s="523"/>
      <c r="J136" s="535">
        <v>35000000</v>
      </c>
      <c r="K136" s="536"/>
      <c r="L136" s="536">
        <v>-19019498</v>
      </c>
      <c r="M136" s="536"/>
      <c r="N136" s="536">
        <f>SUM(H136:L136)</f>
        <v>90930502</v>
      </c>
      <c r="O136" s="536">
        <v>83702510</v>
      </c>
      <c r="P136" s="444">
        <f t="shared" si="32"/>
        <v>-7227992</v>
      </c>
      <c r="Q136" s="452">
        <f t="shared" si="27"/>
        <v>0.920510809453136</v>
      </c>
      <c r="R136" s="445"/>
    </row>
    <row r="137" spans="1:18" s="373" customFormat="1" ht="15.75" customHeight="1" hidden="1" outlineLevel="1">
      <c r="A137" s="399" t="s">
        <v>499</v>
      </c>
      <c r="B137" s="532"/>
      <c r="C137" s="523">
        <v>160000000</v>
      </c>
      <c r="D137" s="522"/>
      <c r="E137" s="533"/>
      <c r="F137" s="523">
        <f t="shared" si="31"/>
        <v>160000000</v>
      </c>
      <c r="G137" s="534"/>
      <c r="H137" s="523">
        <f t="shared" si="33"/>
        <v>160000000</v>
      </c>
      <c r="I137" s="523"/>
      <c r="J137" s="535"/>
      <c r="K137" s="536"/>
      <c r="L137" s="536">
        <f>-60000000-27000000</f>
        <v>-87000000</v>
      </c>
      <c r="M137" s="536"/>
      <c r="N137" s="536">
        <f>SUM(H137:L137)</f>
        <v>73000000</v>
      </c>
      <c r="O137" s="536">
        <v>70448223</v>
      </c>
      <c r="P137" s="444">
        <f t="shared" si="32"/>
        <v>-2551777</v>
      </c>
      <c r="Q137" s="452">
        <f t="shared" si="27"/>
        <v>0.9650441506849315</v>
      </c>
      <c r="R137" s="445"/>
    </row>
    <row r="138" spans="1:18" s="373" customFormat="1" ht="15.75" customHeight="1" collapsed="1">
      <c r="A138" s="392"/>
      <c r="B138" s="532"/>
      <c r="C138" s="522"/>
      <c r="D138" s="533"/>
      <c r="E138" s="522"/>
      <c r="F138" s="532"/>
      <c r="G138" s="533"/>
      <c r="H138" s="532"/>
      <c r="I138" s="532"/>
      <c r="J138" s="537"/>
      <c r="K138" s="538"/>
      <c r="L138" s="538"/>
      <c r="M138" s="538"/>
      <c r="N138" s="538"/>
      <c r="O138" s="538"/>
      <c r="P138" s="397"/>
      <c r="Q138" s="452"/>
      <c r="R138" s="445"/>
    </row>
    <row r="139" spans="1:18" s="373" customFormat="1" ht="15.75" customHeight="1">
      <c r="A139" s="381" t="s">
        <v>54</v>
      </c>
      <c r="B139" s="533"/>
      <c r="C139" s="532"/>
      <c r="D139" s="532">
        <f>+D140+D152+D157+D159+D145</f>
        <v>4751647842.119829</v>
      </c>
      <c r="E139" s="539"/>
      <c r="F139" s="540">
        <f aca="true" t="shared" si="34" ref="F139:F150">+D139+E139</f>
        <v>4751647842.119829</v>
      </c>
      <c r="G139" s="539"/>
      <c r="H139" s="532">
        <f>+F139+G139</f>
        <v>4751647842.119829</v>
      </c>
      <c r="I139" s="540"/>
      <c r="J139" s="541"/>
      <c r="K139" s="542">
        <f>+K140+K152+K157+K159+K145</f>
        <v>7942063</v>
      </c>
      <c r="L139" s="538"/>
      <c r="M139" s="532">
        <f>+M140+M152+M157+M159+M145</f>
        <v>386303786</v>
      </c>
      <c r="N139" s="532">
        <f aca="true" t="shared" si="35" ref="N139:N159">SUM(H139:M139)</f>
        <v>5145893691.119829</v>
      </c>
      <c r="O139" s="532">
        <f>+O140+O145+O152+O157+O159</f>
        <v>4778849437.3</v>
      </c>
      <c r="P139" s="397">
        <f t="shared" si="32"/>
        <v>-367044253.819829</v>
      </c>
      <c r="Q139" s="452">
        <f t="shared" si="27"/>
        <v>0.9286723986441402</v>
      </c>
      <c r="R139" s="445"/>
    </row>
    <row r="140" spans="1:18" s="373" customFormat="1" ht="15.75" customHeight="1">
      <c r="A140" s="393" t="s">
        <v>152</v>
      </c>
      <c r="B140" s="539"/>
      <c r="C140" s="522"/>
      <c r="D140" s="540">
        <f>SUM(D141:D144)</f>
        <v>2997412660.5198298</v>
      </c>
      <c r="E140" s="533"/>
      <c r="F140" s="540">
        <f t="shared" si="34"/>
        <v>2997412660.5198298</v>
      </c>
      <c r="G140" s="533"/>
      <c r="H140" s="532">
        <f>+F140+G140</f>
        <v>2997412660.5198298</v>
      </c>
      <c r="I140" s="540"/>
      <c r="J140" s="541"/>
      <c r="K140" s="542">
        <f>SUM(K141:K144)</f>
        <v>-9547715</v>
      </c>
      <c r="L140" s="538"/>
      <c r="M140" s="540">
        <f>SUM(M141:M144)</f>
        <v>386303786</v>
      </c>
      <c r="N140" s="540">
        <f t="shared" si="35"/>
        <v>3374168731.5198298</v>
      </c>
      <c r="O140" s="540">
        <f>SUM(O141:O144)</f>
        <v>3147683915.8</v>
      </c>
      <c r="P140" s="397">
        <f t="shared" si="32"/>
        <v>-226484815.71982956</v>
      </c>
      <c r="Q140" s="452">
        <f>+O140/N140</f>
        <v>0.9328768553854111</v>
      </c>
      <c r="R140" s="445"/>
    </row>
    <row r="141" spans="1:18" ht="15.75" customHeight="1" hidden="1" outlineLevel="1">
      <c r="A141" s="399" t="s">
        <v>485</v>
      </c>
      <c r="B141" s="539"/>
      <c r="C141" s="522"/>
      <c r="D141" s="523">
        <f>2025505399.11983-51235837-15000000+7942063</f>
        <v>1967211625.11983</v>
      </c>
      <c r="E141" s="533"/>
      <c r="F141" s="523">
        <f t="shared" si="34"/>
        <v>1967211625.11983</v>
      </c>
      <c r="G141" s="533"/>
      <c r="H141" s="523">
        <f aca="true" t="shared" si="36" ref="H141:H149">+F141+G141</f>
        <v>1967211625.11983</v>
      </c>
      <c r="I141" s="523"/>
      <c r="J141" s="535"/>
      <c r="K141" s="536"/>
      <c r="L141" s="536"/>
      <c r="M141" s="536">
        <v>386303786</v>
      </c>
      <c r="N141" s="536">
        <f t="shared" si="35"/>
        <v>2353515411.11983</v>
      </c>
      <c r="O141" s="536">
        <v>2167213588.8</v>
      </c>
      <c r="P141" s="444">
        <f t="shared" si="32"/>
        <v>-186301822.31982994</v>
      </c>
      <c r="Q141" s="452">
        <f>+O141/N141</f>
        <v>0.9208410442355314</v>
      </c>
      <c r="R141" s="445"/>
    </row>
    <row r="142" spans="1:18" s="373" customFormat="1" ht="15.75" customHeight="1" hidden="1" outlineLevel="1">
      <c r="A142" s="399" t="s">
        <v>486</v>
      </c>
      <c r="B142" s="539"/>
      <c r="C142" s="522"/>
      <c r="D142" s="523">
        <v>80670000</v>
      </c>
      <c r="E142" s="533"/>
      <c r="F142" s="523">
        <f t="shared" si="34"/>
        <v>80670000</v>
      </c>
      <c r="G142" s="533"/>
      <c r="H142" s="523">
        <f t="shared" si="36"/>
        <v>80670000</v>
      </c>
      <c r="I142" s="523"/>
      <c r="J142" s="535"/>
      <c r="K142" s="536"/>
      <c r="L142" s="536"/>
      <c r="M142" s="536"/>
      <c r="N142" s="536">
        <f t="shared" si="35"/>
        <v>80670000</v>
      </c>
      <c r="O142" s="536">
        <v>80137838</v>
      </c>
      <c r="P142" s="444">
        <f t="shared" si="32"/>
        <v>-532162</v>
      </c>
      <c r="Q142" s="452">
        <f>+O142/N142</f>
        <v>0.9934032230073138</v>
      </c>
      <c r="R142" s="445"/>
    </row>
    <row r="143" spans="1:18" s="373" customFormat="1" ht="15.75" customHeight="1" hidden="1" outlineLevel="1">
      <c r="A143" s="399" t="s">
        <v>487</v>
      </c>
      <c r="B143" s="539"/>
      <c r="C143" s="522"/>
      <c r="D143" s="523">
        <f>724614836.4-7942063-21094506</f>
        <v>695578267.4</v>
      </c>
      <c r="E143" s="533"/>
      <c r="F143" s="523">
        <f t="shared" si="34"/>
        <v>695578267.4</v>
      </c>
      <c r="G143" s="533"/>
      <c r="H143" s="523">
        <f t="shared" si="36"/>
        <v>695578267.4</v>
      </c>
      <c r="I143" s="523"/>
      <c r="J143" s="535"/>
      <c r="K143" s="536">
        <v>-9547715</v>
      </c>
      <c r="L143" s="536"/>
      <c r="M143" s="536"/>
      <c r="N143" s="536">
        <f t="shared" si="35"/>
        <v>686030552.4</v>
      </c>
      <c r="O143" s="536">
        <v>667678922</v>
      </c>
      <c r="P143" s="444">
        <f t="shared" si="32"/>
        <v>-18351630.399999976</v>
      </c>
      <c r="Q143" s="452">
        <f aca="true" t="shared" si="37" ref="Q143:Q167">+O143/N143</f>
        <v>0.9732495435723688</v>
      </c>
      <c r="R143" s="445"/>
    </row>
    <row r="144" spans="1:18" s="373" customFormat="1" ht="15.75" customHeight="1" hidden="1" outlineLevel="1">
      <c r="A144" s="399" t="s">
        <v>488</v>
      </c>
      <c r="B144" s="539"/>
      <c r="C144" s="522"/>
      <c r="D144" s="523">
        <f>166622425+51235837+15000000+21094506</f>
        <v>253952768</v>
      </c>
      <c r="E144" s="533"/>
      <c r="F144" s="523">
        <f t="shared" si="34"/>
        <v>253952768</v>
      </c>
      <c r="G144" s="533"/>
      <c r="H144" s="523">
        <f t="shared" si="36"/>
        <v>253952768</v>
      </c>
      <c r="I144" s="523"/>
      <c r="J144" s="535"/>
      <c r="K144" s="536"/>
      <c r="L144" s="536"/>
      <c r="M144" s="536"/>
      <c r="N144" s="536">
        <f t="shared" si="35"/>
        <v>253952768</v>
      </c>
      <c r="O144" s="536">
        <v>232653567</v>
      </c>
      <c r="P144" s="444">
        <f t="shared" si="32"/>
        <v>-21299201</v>
      </c>
      <c r="Q144" s="452">
        <f t="shared" si="37"/>
        <v>0.9161292819615969</v>
      </c>
      <c r="R144" s="445"/>
    </row>
    <row r="145" spans="1:18" s="373" customFormat="1" ht="15.75" customHeight="1" collapsed="1">
      <c r="A145" s="393" t="s">
        <v>15</v>
      </c>
      <c r="B145" s="539"/>
      <c r="C145" s="522"/>
      <c r="D145" s="540">
        <f>+D146+D149</f>
        <v>89000000</v>
      </c>
      <c r="E145" s="533"/>
      <c r="F145" s="540">
        <f t="shared" si="34"/>
        <v>89000000</v>
      </c>
      <c r="G145" s="533"/>
      <c r="H145" s="532">
        <f t="shared" si="36"/>
        <v>89000000</v>
      </c>
      <c r="I145" s="540"/>
      <c r="J145" s="541"/>
      <c r="K145" s="542"/>
      <c r="L145" s="538"/>
      <c r="M145" s="538"/>
      <c r="N145" s="538">
        <f t="shared" si="35"/>
        <v>89000000</v>
      </c>
      <c r="O145" s="538">
        <f>+O146+O149</f>
        <v>88140599</v>
      </c>
      <c r="P145" s="397">
        <f t="shared" si="32"/>
        <v>-859401</v>
      </c>
      <c r="Q145" s="452">
        <f t="shared" si="37"/>
        <v>0.9903438089887641</v>
      </c>
      <c r="R145" s="445"/>
    </row>
    <row r="146" spans="1:18" s="373" customFormat="1" ht="15.75" customHeight="1" hidden="1" outlineLevel="1">
      <c r="A146" s="691" t="s">
        <v>492</v>
      </c>
      <c r="B146" s="539"/>
      <c r="C146" s="522"/>
      <c r="D146" s="540">
        <f>+D148+D147</f>
        <v>41054208</v>
      </c>
      <c r="E146" s="533"/>
      <c r="F146" s="540">
        <f t="shared" si="34"/>
        <v>41054208</v>
      </c>
      <c r="G146" s="533"/>
      <c r="H146" s="532">
        <f t="shared" si="36"/>
        <v>41054208</v>
      </c>
      <c r="I146" s="540"/>
      <c r="J146" s="541"/>
      <c r="K146" s="532"/>
      <c r="L146" s="538"/>
      <c r="M146" s="538"/>
      <c r="N146" s="538">
        <f t="shared" si="35"/>
        <v>41054208</v>
      </c>
      <c r="O146" s="538">
        <f>SUM(O147:O148)</f>
        <v>41005064</v>
      </c>
      <c r="P146" s="397">
        <f t="shared" si="32"/>
        <v>-49144</v>
      </c>
      <c r="Q146" s="452">
        <f t="shared" si="37"/>
        <v>0.998802948530879</v>
      </c>
      <c r="R146" s="445"/>
    </row>
    <row r="147" spans="1:18" s="373" customFormat="1" ht="15.75" customHeight="1" hidden="1" outlineLevel="2">
      <c r="A147" s="392" t="s">
        <v>489</v>
      </c>
      <c r="B147" s="539"/>
      <c r="C147" s="522"/>
      <c r="D147" s="523">
        <v>5200000</v>
      </c>
      <c r="E147" s="533"/>
      <c r="F147" s="523">
        <f t="shared" si="34"/>
        <v>5200000</v>
      </c>
      <c r="G147" s="533"/>
      <c r="H147" s="523">
        <f t="shared" si="36"/>
        <v>5200000</v>
      </c>
      <c r="I147" s="523"/>
      <c r="J147" s="535"/>
      <c r="K147" s="536"/>
      <c r="L147" s="536"/>
      <c r="M147" s="536"/>
      <c r="N147" s="536">
        <f t="shared" si="35"/>
        <v>5200000</v>
      </c>
      <c r="O147" s="536">
        <v>5195000</v>
      </c>
      <c r="P147" s="444">
        <f t="shared" si="32"/>
        <v>-5000</v>
      </c>
      <c r="Q147" s="452">
        <f t="shared" si="37"/>
        <v>0.9990384615384615</v>
      </c>
      <c r="R147" s="445"/>
    </row>
    <row r="148" spans="1:18" s="373" customFormat="1" ht="15.75" customHeight="1" hidden="1" outlineLevel="2">
      <c r="A148" s="392" t="s">
        <v>490</v>
      </c>
      <c r="B148" s="539"/>
      <c r="C148" s="522"/>
      <c r="D148" s="523">
        <f>29800000+8271555-2217347</f>
        <v>35854208</v>
      </c>
      <c r="E148" s="533"/>
      <c r="F148" s="523">
        <f t="shared" si="34"/>
        <v>35854208</v>
      </c>
      <c r="G148" s="533"/>
      <c r="H148" s="523">
        <f>+F148+G148</f>
        <v>35854208</v>
      </c>
      <c r="I148" s="523"/>
      <c r="J148" s="535"/>
      <c r="K148" s="523"/>
      <c r="L148" s="536"/>
      <c r="M148" s="536"/>
      <c r="N148" s="536">
        <f t="shared" si="35"/>
        <v>35854208</v>
      </c>
      <c r="O148" s="536">
        <v>35810064</v>
      </c>
      <c r="P148" s="444">
        <f t="shared" si="32"/>
        <v>-44144</v>
      </c>
      <c r="Q148" s="452">
        <f t="shared" si="37"/>
        <v>0.9987687916575929</v>
      </c>
      <c r="R148" s="445"/>
    </row>
    <row r="149" spans="1:18" s="373" customFormat="1" ht="15.75" customHeight="1" hidden="1" outlineLevel="1">
      <c r="A149" s="691" t="s">
        <v>493</v>
      </c>
      <c r="B149" s="539"/>
      <c r="C149" s="522"/>
      <c r="D149" s="540">
        <f>+D150</f>
        <v>47945792</v>
      </c>
      <c r="E149" s="533"/>
      <c r="F149" s="540">
        <f t="shared" si="34"/>
        <v>47945792</v>
      </c>
      <c r="G149" s="533"/>
      <c r="H149" s="532">
        <f t="shared" si="36"/>
        <v>47945792</v>
      </c>
      <c r="I149" s="540"/>
      <c r="J149" s="541"/>
      <c r="K149" s="532"/>
      <c r="L149" s="538"/>
      <c r="M149" s="538"/>
      <c r="N149" s="538">
        <f t="shared" si="35"/>
        <v>47945792</v>
      </c>
      <c r="O149" s="538">
        <f>+O150</f>
        <v>47135535</v>
      </c>
      <c r="P149" s="397">
        <f t="shared" si="32"/>
        <v>-810257</v>
      </c>
      <c r="Q149" s="452">
        <f t="shared" si="37"/>
        <v>0.9831005607332548</v>
      </c>
      <c r="R149" s="445"/>
    </row>
    <row r="150" spans="1:18" s="373" customFormat="1" ht="15.75" customHeight="1" hidden="1" outlineLevel="2">
      <c r="A150" s="392" t="s">
        <v>491</v>
      </c>
      <c r="B150" s="539"/>
      <c r="C150" s="522"/>
      <c r="D150" s="523">
        <f>54000000-8271555+2217347</f>
        <v>47945792</v>
      </c>
      <c r="E150" s="533"/>
      <c r="F150" s="523">
        <f t="shared" si="34"/>
        <v>47945792</v>
      </c>
      <c r="G150" s="533"/>
      <c r="H150" s="523">
        <f>+F150+G150</f>
        <v>47945792</v>
      </c>
      <c r="I150" s="523"/>
      <c r="J150" s="535"/>
      <c r="K150" s="523"/>
      <c r="L150" s="536"/>
      <c r="M150" s="536"/>
      <c r="N150" s="536">
        <f t="shared" si="35"/>
        <v>47945792</v>
      </c>
      <c r="O150" s="536">
        <v>47135535</v>
      </c>
      <c r="P150" s="444">
        <f t="shared" si="32"/>
        <v>-810257</v>
      </c>
      <c r="Q150" s="452">
        <f t="shared" si="37"/>
        <v>0.9831005607332548</v>
      </c>
      <c r="R150" s="445"/>
    </row>
    <row r="151" spans="1:18" s="373" customFormat="1" ht="15.75" customHeight="1" hidden="1" outlineLevel="1">
      <c r="A151" s="392"/>
      <c r="B151" s="539"/>
      <c r="C151" s="522"/>
      <c r="D151" s="523"/>
      <c r="E151" s="533"/>
      <c r="F151" s="523"/>
      <c r="G151" s="533"/>
      <c r="H151" s="540"/>
      <c r="I151" s="523"/>
      <c r="J151" s="535"/>
      <c r="K151" s="536"/>
      <c r="L151" s="536"/>
      <c r="M151" s="536"/>
      <c r="N151" s="536"/>
      <c r="O151" s="536"/>
      <c r="P151" s="397"/>
      <c r="Q151" s="452"/>
      <c r="R151" s="445"/>
    </row>
    <row r="152" spans="1:18" s="373" customFormat="1" ht="15.75" customHeight="1" collapsed="1">
      <c r="A152" s="393" t="s">
        <v>151</v>
      </c>
      <c r="B152" s="539"/>
      <c r="C152" s="522"/>
      <c r="D152" s="540">
        <f>+D153+D154+D155+D156</f>
        <v>120000000</v>
      </c>
      <c r="E152" s="522"/>
      <c r="F152" s="540">
        <f aca="true" t="shared" si="38" ref="F152:F167">+D152+E152</f>
        <v>120000000</v>
      </c>
      <c r="G152" s="533"/>
      <c r="H152" s="532">
        <f>+F152+G152</f>
        <v>120000000</v>
      </c>
      <c r="I152" s="540"/>
      <c r="J152" s="541"/>
      <c r="K152" s="542"/>
      <c r="L152" s="538"/>
      <c r="M152" s="538"/>
      <c r="N152" s="538">
        <f t="shared" si="35"/>
        <v>120000000</v>
      </c>
      <c r="O152" s="538">
        <f>SUM(O153:O156)</f>
        <v>119966775</v>
      </c>
      <c r="P152" s="397">
        <f t="shared" si="32"/>
        <v>-33225</v>
      </c>
      <c r="Q152" s="452">
        <f t="shared" si="37"/>
        <v>0.999723125</v>
      </c>
      <c r="R152" s="445"/>
    </row>
    <row r="153" spans="1:18" s="373" customFormat="1" ht="15.75" customHeight="1" hidden="1" outlineLevel="1">
      <c r="A153" s="396" t="s">
        <v>159</v>
      </c>
      <c r="B153" s="539"/>
      <c r="C153" s="522"/>
      <c r="D153" s="523">
        <v>70000000</v>
      </c>
      <c r="E153" s="533"/>
      <c r="F153" s="523">
        <f t="shared" si="38"/>
        <v>70000000</v>
      </c>
      <c r="G153" s="534"/>
      <c r="H153" s="523">
        <f aca="true" t="shared" si="39" ref="H153:H167">+F153+G153</f>
        <v>70000000</v>
      </c>
      <c r="I153" s="523"/>
      <c r="J153" s="535"/>
      <c r="K153" s="536"/>
      <c r="L153" s="536"/>
      <c r="M153" s="536"/>
      <c r="N153" s="536">
        <f t="shared" si="35"/>
        <v>70000000</v>
      </c>
      <c r="O153" s="536">
        <v>70000000</v>
      </c>
      <c r="P153" s="444">
        <f t="shared" si="32"/>
        <v>0</v>
      </c>
      <c r="Q153" s="452">
        <f t="shared" si="37"/>
        <v>1</v>
      </c>
      <c r="R153" s="445"/>
    </row>
    <row r="154" spans="1:18" s="373" customFormat="1" ht="15.75" customHeight="1" hidden="1" outlineLevel="1">
      <c r="A154" s="396" t="s">
        <v>264</v>
      </c>
      <c r="B154" s="539"/>
      <c r="C154" s="522"/>
      <c r="D154" s="523">
        <v>25000000</v>
      </c>
      <c r="E154" s="533"/>
      <c r="F154" s="523">
        <f t="shared" si="38"/>
        <v>25000000</v>
      </c>
      <c r="G154" s="534"/>
      <c r="H154" s="523">
        <f t="shared" si="39"/>
        <v>25000000</v>
      </c>
      <c r="I154" s="523"/>
      <c r="J154" s="535"/>
      <c r="K154" s="536"/>
      <c r="L154" s="536"/>
      <c r="M154" s="536"/>
      <c r="N154" s="536">
        <f t="shared" si="35"/>
        <v>25000000</v>
      </c>
      <c r="O154" s="536">
        <v>25000000</v>
      </c>
      <c r="P154" s="444">
        <f t="shared" si="32"/>
        <v>0</v>
      </c>
      <c r="Q154" s="452">
        <f t="shared" si="37"/>
        <v>1</v>
      </c>
      <c r="R154" s="445"/>
    </row>
    <row r="155" spans="1:18" s="373" customFormat="1" ht="15.75" customHeight="1" hidden="1" outlineLevel="1">
      <c r="A155" s="396" t="s">
        <v>265</v>
      </c>
      <c r="B155" s="539"/>
      <c r="C155" s="522"/>
      <c r="D155" s="543">
        <v>25000000</v>
      </c>
      <c r="E155" s="533"/>
      <c r="F155" s="523">
        <f t="shared" si="38"/>
        <v>25000000</v>
      </c>
      <c r="G155" s="534"/>
      <c r="H155" s="523">
        <f t="shared" si="39"/>
        <v>25000000</v>
      </c>
      <c r="I155" s="523"/>
      <c r="J155" s="535"/>
      <c r="K155" s="536"/>
      <c r="L155" s="536"/>
      <c r="M155" s="536"/>
      <c r="N155" s="536">
        <f t="shared" si="35"/>
        <v>25000000</v>
      </c>
      <c r="O155" s="536">
        <v>24966775</v>
      </c>
      <c r="P155" s="444">
        <f t="shared" si="32"/>
        <v>-33225</v>
      </c>
      <c r="Q155" s="452">
        <f>+O155/N155</f>
        <v>0.998671</v>
      </c>
      <c r="R155" s="445"/>
    </row>
    <row r="156" spans="1:18" s="373" customFormat="1" ht="15.75" customHeight="1" hidden="1" outlineLevel="1">
      <c r="A156" s="396" t="s">
        <v>470</v>
      </c>
      <c r="B156" s="539"/>
      <c r="C156" s="522"/>
      <c r="D156" s="523">
        <v>0</v>
      </c>
      <c r="E156" s="533"/>
      <c r="F156" s="523">
        <f t="shared" si="38"/>
        <v>0</v>
      </c>
      <c r="G156" s="534"/>
      <c r="H156" s="523">
        <f t="shared" si="39"/>
        <v>0</v>
      </c>
      <c r="I156" s="523"/>
      <c r="J156" s="535"/>
      <c r="K156" s="536"/>
      <c r="L156" s="536"/>
      <c r="M156" s="536"/>
      <c r="N156" s="536">
        <f t="shared" si="35"/>
        <v>0</v>
      </c>
      <c r="O156" s="536"/>
      <c r="P156" s="444">
        <f t="shared" si="32"/>
        <v>0</v>
      </c>
      <c r="Q156" s="452">
        <v>0</v>
      </c>
      <c r="R156" s="445"/>
    </row>
    <row r="157" spans="1:18" s="373" customFormat="1" ht="15.75" customHeight="1" collapsed="1">
      <c r="A157" s="393" t="s">
        <v>8</v>
      </c>
      <c r="B157" s="533"/>
      <c r="C157" s="522"/>
      <c r="D157" s="540">
        <f>+D158</f>
        <v>141706032</v>
      </c>
      <c r="E157" s="533"/>
      <c r="F157" s="540">
        <f t="shared" si="38"/>
        <v>141706032</v>
      </c>
      <c r="G157" s="539"/>
      <c r="H157" s="532">
        <f t="shared" si="39"/>
        <v>141706032</v>
      </c>
      <c r="I157" s="540"/>
      <c r="J157" s="541"/>
      <c r="K157" s="542">
        <f>+K158</f>
        <v>17489778</v>
      </c>
      <c r="L157" s="538"/>
      <c r="M157" s="538"/>
      <c r="N157" s="538">
        <f t="shared" si="35"/>
        <v>159195810</v>
      </c>
      <c r="O157" s="538">
        <f>+O158</f>
        <v>159195763</v>
      </c>
      <c r="P157" s="397">
        <f t="shared" si="32"/>
        <v>-47</v>
      </c>
      <c r="Q157" s="452">
        <f t="shared" si="37"/>
        <v>0.999999704766099</v>
      </c>
      <c r="R157" s="445"/>
    </row>
    <row r="158" spans="1:18" s="373" customFormat="1" ht="15.75" customHeight="1" hidden="1" outlineLevel="1">
      <c r="A158" s="392" t="s">
        <v>153</v>
      </c>
      <c r="B158" s="533"/>
      <c r="C158" s="522"/>
      <c r="D158" s="523">
        <v>141706032</v>
      </c>
      <c r="E158" s="533"/>
      <c r="F158" s="523">
        <f t="shared" si="38"/>
        <v>141706032</v>
      </c>
      <c r="G158" s="539"/>
      <c r="H158" s="523">
        <f t="shared" si="39"/>
        <v>141706032</v>
      </c>
      <c r="I158" s="523"/>
      <c r="J158" s="535"/>
      <c r="K158" s="536">
        <v>17489778</v>
      </c>
      <c r="L158" s="536"/>
      <c r="M158" s="536"/>
      <c r="N158" s="536">
        <f t="shared" si="35"/>
        <v>159195810</v>
      </c>
      <c r="O158" s="536">
        <v>159195763</v>
      </c>
      <c r="P158" s="444">
        <f t="shared" si="32"/>
        <v>-47</v>
      </c>
      <c r="Q158" s="452">
        <f t="shared" si="37"/>
        <v>0.999999704766099</v>
      </c>
      <c r="R158" s="445"/>
    </row>
    <row r="159" spans="1:18" ht="15.75" customHeight="1" collapsed="1">
      <c r="A159" s="393" t="s">
        <v>270</v>
      </c>
      <c r="B159" s="533"/>
      <c r="C159" s="522"/>
      <c r="D159" s="540">
        <f>+D160+D163+D164+D165+D167+D166</f>
        <v>1403529149.6</v>
      </c>
      <c r="E159" s="533"/>
      <c r="F159" s="540">
        <f t="shared" si="38"/>
        <v>1403529149.6</v>
      </c>
      <c r="G159" s="544"/>
      <c r="H159" s="532">
        <f t="shared" si="39"/>
        <v>1403529149.6</v>
      </c>
      <c r="I159" s="540"/>
      <c r="J159" s="541"/>
      <c r="K159" s="542">
        <f>+K160+K163+K164+K165+K167+K166</f>
        <v>0</v>
      </c>
      <c r="L159" s="538"/>
      <c r="M159" s="538"/>
      <c r="N159" s="538">
        <f t="shared" si="35"/>
        <v>1403529149.6</v>
      </c>
      <c r="O159" s="538">
        <f>SUM(O163:O167)+O160</f>
        <v>1263862384.5</v>
      </c>
      <c r="P159" s="397">
        <f t="shared" si="32"/>
        <v>-139666765.0999999</v>
      </c>
      <c r="Q159" s="452">
        <f t="shared" si="37"/>
        <v>0.9004888746772346</v>
      </c>
      <c r="R159" s="445"/>
    </row>
    <row r="160" spans="1:18" ht="15.75" customHeight="1" hidden="1" outlineLevel="1">
      <c r="A160" s="399" t="s">
        <v>477</v>
      </c>
      <c r="B160" s="533"/>
      <c r="C160" s="522"/>
      <c r="D160" s="523">
        <f>+D161+D162</f>
        <v>1259053239.6</v>
      </c>
      <c r="E160" s="533"/>
      <c r="F160" s="523">
        <f t="shared" si="38"/>
        <v>1259053239.6</v>
      </c>
      <c r="G160" s="539"/>
      <c r="H160" s="523">
        <f t="shared" si="39"/>
        <v>1259053239.6</v>
      </c>
      <c r="I160" s="523"/>
      <c r="J160" s="535"/>
      <c r="K160" s="536"/>
      <c r="L160" s="536"/>
      <c r="M160" s="536"/>
      <c r="N160" s="536">
        <f aca="true" t="shared" si="40" ref="N160:N167">SUM(H160:K160)</f>
        <v>1259053239.6</v>
      </c>
      <c r="O160" s="536">
        <f>SUM(O161:O162)</f>
        <v>1152158711</v>
      </c>
      <c r="P160" s="397">
        <f t="shared" si="32"/>
        <v>-106894528.5999999</v>
      </c>
      <c r="Q160" s="452">
        <f t="shared" si="37"/>
        <v>0.9150992783800308</v>
      </c>
      <c r="R160" s="445"/>
    </row>
    <row r="161" spans="1:18" ht="15.75" customHeight="1" hidden="1" outlineLevel="2">
      <c r="A161" s="392" t="s">
        <v>478</v>
      </c>
      <c r="B161" s="533"/>
      <c r="C161" s="522"/>
      <c r="D161" s="523">
        <v>345903600</v>
      </c>
      <c r="E161" s="533"/>
      <c r="F161" s="523">
        <f t="shared" si="38"/>
        <v>345903600</v>
      </c>
      <c r="G161" s="539"/>
      <c r="H161" s="523">
        <f t="shared" si="39"/>
        <v>345903600</v>
      </c>
      <c r="I161" s="523"/>
      <c r="J161" s="535"/>
      <c r="K161" s="536"/>
      <c r="L161" s="536"/>
      <c r="M161" s="536"/>
      <c r="N161" s="536">
        <f t="shared" si="40"/>
        <v>345903600</v>
      </c>
      <c r="O161" s="536">
        <v>345903600</v>
      </c>
      <c r="P161" s="444">
        <f t="shared" si="32"/>
        <v>0</v>
      </c>
      <c r="Q161" s="452">
        <f t="shared" si="37"/>
        <v>1</v>
      </c>
      <c r="R161" s="445"/>
    </row>
    <row r="162" spans="1:18" ht="15.75" customHeight="1" hidden="1" outlineLevel="2">
      <c r="A162" s="392" t="s">
        <v>479</v>
      </c>
      <c r="B162" s="533"/>
      <c r="C162" s="522"/>
      <c r="D162" s="523">
        <v>913149639.5999999</v>
      </c>
      <c r="E162" s="522"/>
      <c r="F162" s="523">
        <f t="shared" si="38"/>
        <v>913149639.5999999</v>
      </c>
      <c r="G162" s="539"/>
      <c r="H162" s="523">
        <f t="shared" si="39"/>
        <v>913149639.5999999</v>
      </c>
      <c r="I162" s="523"/>
      <c r="J162" s="535"/>
      <c r="K162" s="536"/>
      <c r="L162" s="536"/>
      <c r="M162" s="536"/>
      <c r="N162" s="536">
        <f t="shared" si="40"/>
        <v>913149639.5999999</v>
      </c>
      <c r="O162" s="536">
        <v>806255111</v>
      </c>
      <c r="P162" s="444">
        <f t="shared" si="32"/>
        <v>-106894528.5999999</v>
      </c>
      <c r="Q162" s="452">
        <f t="shared" si="37"/>
        <v>0.8829386510552373</v>
      </c>
      <c r="R162" s="445"/>
    </row>
    <row r="163" spans="1:18" ht="15.75" customHeight="1" hidden="1" outlineLevel="1">
      <c r="A163" s="399" t="s">
        <v>480</v>
      </c>
      <c r="B163" s="533"/>
      <c r="C163" s="522"/>
      <c r="D163" s="523">
        <v>12000000</v>
      </c>
      <c r="E163" s="533"/>
      <c r="F163" s="523">
        <f t="shared" si="38"/>
        <v>12000000</v>
      </c>
      <c r="G163" s="539"/>
      <c r="H163" s="523">
        <f t="shared" si="39"/>
        <v>12000000</v>
      </c>
      <c r="I163" s="523"/>
      <c r="J163" s="535"/>
      <c r="K163" s="536"/>
      <c r="L163" s="536"/>
      <c r="M163" s="536"/>
      <c r="N163" s="536">
        <f t="shared" si="40"/>
        <v>12000000</v>
      </c>
      <c r="O163" s="536">
        <v>11872962</v>
      </c>
      <c r="P163" s="444">
        <f t="shared" si="32"/>
        <v>-127038</v>
      </c>
      <c r="Q163" s="452">
        <f t="shared" si="37"/>
        <v>0.9894135</v>
      </c>
      <c r="R163" s="445"/>
    </row>
    <row r="164" spans="1:18" ht="15.75" customHeight="1" hidden="1" outlineLevel="1">
      <c r="A164" s="399" t="s">
        <v>481</v>
      </c>
      <c r="B164" s="533"/>
      <c r="C164" s="522"/>
      <c r="D164" s="523">
        <v>12000000</v>
      </c>
      <c r="E164" s="533"/>
      <c r="F164" s="523">
        <f t="shared" si="38"/>
        <v>12000000</v>
      </c>
      <c r="G164" s="539"/>
      <c r="H164" s="523">
        <f t="shared" si="39"/>
        <v>12000000</v>
      </c>
      <c r="I164" s="523"/>
      <c r="J164" s="535"/>
      <c r="K164" s="536"/>
      <c r="L164" s="536"/>
      <c r="M164" s="536"/>
      <c r="N164" s="536">
        <f t="shared" si="40"/>
        <v>12000000</v>
      </c>
      <c r="O164" s="536">
        <v>9335014.5</v>
      </c>
      <c r="P164" s="444">
        <f t="shared" si="32"/>
        <v>-2664985.5</v>
      </c>
      <c r="Q164" s="452">
        <f t="shared" si="37"/>
        <v>0.777917875</v>
      </c>
      <c r="R164" s="445"/>
    </row>
    <row r="165" spans="1:18" ht="15.75" customHeight="1" hidden="1" outlineLevel="1">
      <c r="A165" s="399" t="s">
        <v>482</v>
      </c>
      <c r="B165" s="533"/>
      <c r="C165" s="522"/>
      <c r="D165" s="523">
        <f>112275910-15000000</f>
        <v>97275910</v>
      </c>
      <c r="E165" s="533"/>
      <c r="F165" s="523">
        <f t="shared" si="38"/>
        <v>97275910</v>
      </c>
      <c r="G165" s="533"/>
      <c r="H165" s="523">
        <f t="shared" si="39"/>
        <v>97275910</v>
      </c>
      <c r="I165" s="523"/>
      <c r="J165" s="535"/>
      <c r="K165" s="536"/>
      <c r="L165" s="536"/>
      <c r="M165" s="536"/>
      <c r="N165" s="536">
        <f t="shared" si="40"/>
        <v>97275910</v>
      </c>
      <c r="O165" s="536">
        <v>78784660</v>
      </c>
      <c r="P165" s="444">
        <f t="shared" si="32"/>
        <v>-18491250</v>
      </c>
      <c r="Q165" s="452">
        <f t="shared" si="37"/>
        <v>0.809909257081224</v>
      </c>
      <c r="R165" s="445"/>
    </row>
    <row r="166" spans="1:18" ht="15.75" customHeight="1" hidden="1" outlineLevel="1">
      <c r="A166" s="399" t="s">
        <v>483</v>
      </c>
      <c r="B166" s="533"/>
      <c r="C166" s="522"/>
      <c r="D166" s="523">
        <f>5800000+15000000</f>
        <v>20800000</v>
      </c>
      <c r="E166" s="533"/>
      <c r="F166" s="523">
        <f>+D166</f>
        <v>20800000</v>
      </c>
      <c r="G166" s="533"/>
      <c r="H166" s="523">
        <f t="shared" si="39"/>
        <v>20800000</v>
      </c>
      <c r="I166" s="523"/>
      <c r="J166" s="535"/>
      <c r="K166" s="536"/>
      <c r="L166" s="536"/>
      <c r="M166" s="536"/>
      <c r="N166" s="536">
        <f t="shared" si="40"/>
        <v>20800000</v>
      </c>
      <c r="O166" s="536">
        <v>9641417</v>
      </c>
      <c r="P166" s="444">
        <f t="shared" si="32"/>
        <v>-11158583</v>
      </c>
      <c r="Q166" s="452">
        <f>+O166/N166</f>
        <v>0.46352966346153845</v>
      </c>
      <c r="R166" s="445"/>
    </row>
    <row r="167" spans="1:18" ht="15.75" customHeight="1" hidden="1" outlineLevel="1">
      <c r="A167" s="399" t="s">
        <v>484</v>
      </c>
      <c r="B167" s="533"/>
      <c r="C167" s="522"/>
      <c r="D167" s="523">
        <v>2400000</v>
      </c>
      <c r="E167" s="533"/>
      <c r="F167" s="523">
        <f t="shared" si="38"/>
        <v>2400000</v>
      </c>
      <c r="G167" s="533"/>
      <c r="H167" s="523">
        <f t="shared" si="39"/>
        <v>2400000</v>
      </c>
      <c r="I167" s="523"/>
      <c r="J167" s="535"/>
      <c r="K167" s="536"/>
      <c r="L167" s="536"/>
      <c r="M167" s="536"/>
      <c r="N167" s="536">
        <f t="shared" si="40"/>
        <v>2400000</v>
      </c>
      <c r="O167" s="536">
        <v>2069620</v>
      </c>
      <c r="P167" s="444">
        <f t="shared" si="32"/>
        <v>-330380</v>
      </c>
      <c r="Q167" s="452">
        <f t="shared" si="37"/>
        <v>0.8623416666666667</v>
      </c>
      <c r="R167" s="445"/>
    </row>
    <row r="168" spans="1:18" ht="15.75" customHeight="1" collapsed="1">
      <c r="A168" s="392"/>
      <c r="B168" s="533"/>
      <c r="C168" s="522"/>
      <c r="D168" s="523"/>
      <c r="E168" s="533"/>
      <c r="F168" s="522"/>
      <c r="G168" s="533"/>
      <c r="H168" s="522"/>
      <c r="I168" s="522"/>
      <c r="J168" s="545"/>
      <c r="K168" s="536"/>
      <c r="L168" s="536"/>
      <c r="M168" s="536"/>
      <c r="N168" s="536"/>
      <c r="O168" s="536"/>
      <c r="P168" s="397"/>
      <c r="Q168" s="452"/>
      <c r="R168" s="445"/>
    </row>
    <row r="169" spans="1:18" ht="15.75" customHeight="1">
      <c r="A169" s="392"/>
      <c r="B169" s="533"/>
      <c r="C169" s="522"/>
      <c r="D169" s="523"/>
      <c r="E169" s="533"/>
      <c r="F169" s="522"/>
      <c r="G169" s="533"/>
      <c r="H169" s="522"/>
      <c r="I169" s="522"/>
      <c r="J169" s="545"/>
      <c r="K169" s="536"/>
      <c r="L169" s="536"/>
      <c r="M169" s="536"/>
      <c r="N169" s="536"/>
      <c r="O169" s="536"/>
      <c r="P169" s="397"/>
      <c r="Q169" s="452"/>
      <c r="R169" s="445"/>
    </row>
    <row r="170" spans="1:18" ht="15.75" customHeight="1">
      <c r="A170" s="391" t="s">
        <v>171</v>
      </c>
      <c r="B170" s="533"/>
      <c r="C170" s="533"/>
      <c r="D170" s="533"/>
      <c r="E170" s="522"/>
      <c r="F170" s="522"/>
      <c r="G170" s="532">
        <v>801893260.675385</v>
      </c>
      <c r="H170" s="532">
        <f>+F170+G170</f>
        <v>801893260.675385</v>
      </c>
      <c r="I170" s="532"/>
      <c r="J170" s="537"/>
      <c r="K170" s="538">
        <v>49515438.32461509</v>
      </c>
      <c r="L170" s="538"/>
      <c r="M170" s="538"/>
      <c r="N170" s="538">
        <f>SUM(H170:M170)</f>
        <v>851408699.0000001</v>
      </c>
      <c r="O170" s="538">
        <v>863119710</v>
      </c>
      <c r="P170" s="397">
        <f>+O170-N170</f>
        <v>11711010.99999988</v>
      </c>
      <c r="Q170" s="452">
        <f>+O170/N170</f>
        <v>1.0137548641607195</v>
      </c>
      <c r="R170" s="445"/>
    </row>
    <row r="171" spans="1:18" ht="15.75" customHeight="1">
      <c r="A171" s="393"/>
      <c r="B171" s="533"/>
      <c r="C171" s="533"/>
      <c r="D171" s="533"/>
      <c r="E171" s="522"/>
      <c r="F171" s="522"/>
      <c r="G171" s="522"/>
      <c r="H171" s="522"/>
      <c r="I171" s="522"/>
      <c r="J171" s="546"/>
      <c r="K171" s="536"/>
      <c r="L171" s="536"/>
      <c r="M171" s="536"/>
      <c r="N171" s="536"/>
      <c r="O171" s="536"/>
      <c r="P171" s="397"/>
      <c r="Q171" s="452"/>
      <c r="R171" s="445"/>
    </row>
    <row r="172" spans="1:18" ht="15.75" customHeight="1">
      <c r="A172" s="391" t="s">
        <v>240</v>
      </c>
      <c r="B172" s="533"/>
      <c r="C172" s="533"/>
      <c r="D172" s="533"/>
      <c r="E172" s="522"/>
      <c r="F172" s="532">
        <v>0</v>
      </c>
      <c r="G172" s="532">
        <f>+G173+G174</f>
        <v>914532940.3162575</v>
      </c>
      <c r="H172" s="532">
        <f>+F172+G172</f>
        <v>914532940.3162575</v>
      </c>
      <c r="I172" s="532">
        <f>+I173+I174</f>
        <v>192695456</v>
      </c>
      <c r="J172" s="547">
        <f>+J173+J174</f>
        <v>21712666</v>
      </c>
      <c r="K172" s="538">
        <f>+K173+K174</f>
        <v>405609968</v>
      </c>
      <c r="L172" s="538">
        <f>+L173+L174</f>
        <v>46019498</v>
      </c>
      <c r="M172" s="538">
        <f>+M173+M174</f>
        <v>-386303786</v>
      </c>
      <c r="N172" s="538">
        <f>SUM(H172:M172)</f>
        <v>1194266742.3162575</v>
      </c>
      <c r="O172" s="538">
        <f>+O173+O174</f>
        <v>0</v>
      </c>
      <c r="P172" s="397">
        <v>0</v>
      </c>
      <c r="Q172" s="452">
        <f>+O172/N172</f>
        <v>0</v>
      </c>
      <c r="R172" s="445"/>
    </row>
    <row r="173" spans="1:18" ht="15.75" customHeight="1">
      <c r="A173" s="390" t="s">
        <v>286</v>
      </c>
      <c r="B173" s="533"/>
      <c r="C173" s="533"/>
      <c r="D173" s="533"/>
      <c r="E173" s="522"/>
      <c r="F173" s="522">
        <v>0</v>
      </c>
      <c r="G173" s="522">
        <v>153692650.76383972</v>
      </c>
      <c r="H173" s="522">
        <f>+G173</f>
        <v>153692650.76383972</v>
      </c>
      <c r="I173" s="522">
        <f>85002304-30000000</f>
        <v>55002304</v>
      </c>
      <c r="J173" s="546">
        <f>21712666</f>
        <v>21712666</v>
      </c>
      <c r="K173" s="536">
        <f>334229209-21927000+15115451+196782572-230000000</f>
        <v>294200232</v>
      </c>
      <c r="L173" s="536">
        <f>46019498</f>
        <v>46019498</v>
      </c>
      <c r="M173" s="536"/>
      <c r="N173" s="536">
        <f>SUM(H173:M173)</f>
        <v>570627350.7638397</v>
      </c>
      <c r="O173" s="536">
        <v>0</v>
      </c>
      <c r="P173" s="444">
        <v>0</v>
      </c>
      <c r="Q173" s="452">
        <f>+O173/N173</f>
        <v>0</v>
      </c>
      <c r="R173" s="445"/>
    </row>
    <row r="174" spans="1:18" ht="15.75" customHeight="1">
      <c r="A174" s="390" t="s">
        <v>287</v>
      </c>
      <c r="B174" s="533"/>
      <c r="C174" s="533"/>
      <c r="D174" s="533"/>
      <c r="E174" s="522"/>
      <c r="F174" s="522">
        <v>0</v>
      </c>
      <c r="G174" s="522">
        <v>760840289.5524178</v>
      </c>
      <c r="H174" s="522">
        <f>+G174</f>
        <v>760840289.5524178</v>
      </c>
      <c r="I174" s="522">
        <v>137693152</v>
      </c>
      <c r="J174" s="546"/>
      <c r="K174" s="536">
        <v>111409736</v>
      </c>
      <c r="L174" s="536"/>
      <c r="M174" s="536">
        <v>-386303786</v>
      </c>
      <c r="N174" s="536">
        <f>SUM(H174:M174)</f>
        <v>623639391.5524178</v>
      </c>
      <c r="O174" s="536">
        <v>0</v>
      </c>
      <c r="P174" s="444">
        <v>0</v>
      </c>
      <c r="Q174" s="452">
        <f>+O174/N174</f>
        <v>0</v>
      </c>
      <c r="R174" s="445"/>
    </row>
    <row r="175" spans="1:18" s="374" customFormat="1" ht="15.75" customHeight="1">
      <c r="A175" s="393"/>
      <c r="B175" s="533"/>
      <c r="C175" s="533"/>
      <c r="D175" s="533"/>
      <c r="E175" s="522"/>
      <c r="F175" s="522"/>
      <c r="G175" s="522"/>
      <c r="H175" s="522"/>
      <c r="I175" s="522"/>
      <c r="J175" s="546"/>
      <c r="K175" s="546"/>
      <c r="L175" s="546"/>
      <c r="M175" s="546"/>
      <c r="N175" s="546"/>
      <c r="O175" s="546"/>
      <c r="P175" s="397"/>
      <c r="Q175" s="452"/>
      <c r="R175" s="445"/>
    </row>
    <row r="176" spans="1:18" s="374" customFormat="1" ht="15.75" customHeight="1">
      <c r="A176" s="393" t="s">
        <v>293</v>
      </c>
      <c r="B176" s="532">
        <f>+B37+B39</f>
        <v>4025249383.0158587</v>
      </c>
      <c r="C176" s="532">
        <f>+C37+C39</f>
        <v>918734611.4621673</v>
      </c>
      <c r="D176" s="532">
        <f>+D37+D39</f>
        <v>5947049691.243191</v>
      </c>
      <c r="E176" s="532">
        <f>+E37+E39</f>
        <v>3142832549.5926476</v>
      </c>
      <c r="F176" s="532">
        <f>+F37+F39</f>
        <v>14033866235.313866</v>
      </c>
      <c r="G176" s="532">
        <f>+G172+G170+G37</f>
        <v>2318100309.8587255</v>
      </c>
      <c r="H176" s="532">
        <f>+F176+G176</f>
        <v>16351966545.172592</v>
      </c>
      <c r="I176" s="532">
        <f>+I172+I39</f>
        <v>222695456</v>
      </c>
      <c r="J176" s="548">
        <f>+J39+J37+J172</f>
        <v>-542884986</v>
      </c>
      <c r="K176" s="532">
        <f>+K37+K39+K172+K170</f>
        <v>377837561.3246151</v>
      </c>
      <c r="L176" s="532">
        <f>+L37+L39+L172+L170</f>
        <v>-60000000</v>
      </c>
      <c r="M176" s="532">
        <f>+M37+M39+M172+M170</f>
        <v>0</v>
      </c>
      <c r="N176" s="532">
        <f>SUM(H176:M176)</f>
        <v>16349614576.497208</v>
      </c>
      <c r="O176" s="532">
        <f>+O37+O39+O172+O170</f>
        <v>14406247668.248001</v>
      </c>
      <c r="P176" s="397">
        <f>+O176-N176</f>
        <v>-1943366908.2492065</v>
      </c>
      <c r="Q176" s="452">
        <f>+O176/N176</f>
        <v>0.8811368366418361</v>
      </c>
      <c r="R176" s="445"/>
    </row>
    <row r="177" spans="1:17" ht="15.75" customHeight="1" thickBot="1">
      <c r="A177" s="382"/>
      <c r="B177" s="383"/>
      <c r="C177" s="384"/>
      <c r="D177" s="384"/>
      <c r="E177" s="384"/>
      <c r="F177" s="384"/>
      <c r="G177" s="384"/>
      <c r="H177" s="403"/>
      <c r="I177" s="384"/>
      <c r="J177" s="384"/>
      <c r="K177" s="384"/>
      <c r="L177" s="404"/>
      <c r="M177" s="403"/>
      <c r="N177" s="403"/>
      <c r="O177" s="403"/>
      <c r="P177" s="449"/>
      <c r="Q177" s="450"/>
    </row>
    <row r="178" spans="1:16" ht="15.75" customHeight="1" thickTop="1">
      <c r="A178" s="405"/>
      <c r="B178" s="406"/>
      <c r="C178" s="407"/>
      <c r="D178" s="407"/>
      <c r="E178" s="412"/>
      <c r="F178" s="412"/>
      <c r="G178" s="407"/>
      <c r="H178" s="408"/>
      <c r="I178" s="407"/>
      <c r="J178" s="407"/>
      <c r="K178" s="407"/>
      <c r="L178" s="409"/>
      <c r="M178" s="408"/>
      <c r="N178" s="408"/>
      <c r="O178" s="407"/>
      <c r="P178" s="407"/>
    </row>
    <row r="179" spans="1:16" ht="15.75" customHeight="1">
      <c r="A179" s="405"/>
      <c r="B179" s="406"/>
      <c r="C179" s="410"/>
      <c r="D179" s="412"/>
      <c r="E179" s="408"/>
      <c r="F179" s="408"/>
      <c r="G179" s="408"/>
      <c r="H179" s="408"/>
      <c r="I179" s="407"/>
      <c r="J179" s="407"/>
      <c r="K179" s="407"/>
      <c r="L179" s="409"/>
      <c r="M179" s="407"/>
      <c r="N179" s="407"/>
      <c r="O179" s="407"/>
      <c r="P179" s="407"/>
    </row>
    <row r="180" spans="1:16" ht="15.75" customHeight="1">
      <c r="A180" s="405"/>
      <c r="B180" s="406"/>
      <c r="C180" s="410"/>
      <c r="D180" s="412"/>
      <c r="E180" s="408"/>
      <c r="F180" s="408"/>
      <c r="G180" s="407"/>
      <c r="H180" s="408"/>
      <c r="I180" s="407"/>
      <c r="J180" s="407"/>
      <c r="K180" s="407"/>
      <c r="L180" s="409"/>
      <c r="M180" s="416"/>
      <c r="N180" s="416"/>
      <c r="O180" s="407"/>
      <c r="P180" s="407"/>
    </row>
    <row r="181" spans="1:16" ht="15.75" customHeight="1">
      <c r="A181" s="405"/>
      <c r="B181" s="406"/>
      <c r="C181" s="411"/>
      <c r="D181" s="412"/>
      <c r="E181" s="413"/>
      <c r="F181" s="413"/>
      <c r="G181" s="408"/>
      <c r="H181" s="408"/>
      <c r="I181" s="407"/>
      <c r="J181" s="407"/>
      <c r="K181" s="407"/>
      <c r="L181" s="409"/>
      <c r="M181" s="408"/>
      <c r="N181" s="408"/>
      <c r="O181" s="407"/>
      <c r="P181" s="407"/>
    </row>
    <row r="182" spans="1:16" ht="18">
      <c r="A182" s="375"/>
      <c r="B182" s="379"/>
      <c r="C182" s="1"/>
      <c r="D182" s="1"/>
      <c r="E182" s="414"/>
      <c r="F182" s="1"/>
      <c r="G182" s="3"/>
      <c r="H182" s="3"/>
      <c r="I182" s="3"/>
      <c r="J182" s="3"/>
      <c r="K182" s="3"/>
      <c r="L182" s="3"/>
      <c r="M182" s="426"/>
      <c r="N182" s="426"/>
      <c r="O182" s="427"/>
      <c r="P182" s="427"/>
    </row>
    <row r="183" spans="1:16" ht="12.75" hidden="1">
      <c r="A183" s="375"/>
      <c r="B183" s="1"/>
      <c r="C183" s="1"/>
      <c r="D183" s="3"/>
      <c r="E183" s="1"/>
      <c r="F183" s="3"/>
      <c r="G183" s="3"/>
      <c r="H183" s="230"/>
      <c r="I183" s="230"/>
      <c r="J183" s="230"/>
      <c r="K183" s="230"/>
      <c r="L183" s="230"/>
      <c r="M183" s="428"/>
      <c r="N183" s="428"/>
      <c r="O183" s="428"/>
      <c r="P183" s="428"/>
    </row>
    <row r="184" spans="1:16" ht="15.75" hidden="1">
      <c r="A184" s="375"/>
      <c r="B184" s="1"/>
      <c r="C184" s="1"/>
      <c r="D184" s="1"/>
      <c r="E184" s="385"/>
      <c r="F184" s="386"/>
      <c r="G184" s="386"/>
      <c r="H184" s="387" t="s">
        <v>158</v>
      </c>
      <c r="I184" s="387"/>
      <c r="J184" s="387"/>
      <c r="K184" s="387"/>
      <c r="L184" s="387"/>
      <c r="M184" s="428"/>
      <c r="N184" s="428"/>
      <c r="O184" s="428"/>
      <c r="P184" s="428"/>
    </row>
    <row r="185" spans="1:16" ht="15.75" hidden="1">
      <c r="A185" s="377"/>
      <c r="B185" s="1"/>
      <c r="C185" s="1"/>
      <c r="D185" s="1"/>
      <c r="E185" s="385"/>
      <c r="F185" s="388"/>
      <c r="G185" s="400"/>
      <c r="H185" s="388">
        <f>+G185-F185</f>
        <v>0</v>
      </c>
      <c r="I185" s="388"/>
      <c r="J185" s="388"/>
      <c r="K185" s="388"/>
      <c r="L185" s="388"/>
      <c r="M185" s="428"/>
      <c r="N185" s="428"/>
      <c r="O185" s="428"/>
      <c r="P185" s="428"/>
    </row>
    <row r="186" spans="1:16" ht="16.5" hidden="1" thickBot="1">
      <c r="A186" s="375"/>
      <c r="B186" s="1"/>
      <c r="C186" s="1"/>
      <c r="D186" s="1"/>
      <c r="E186" s="385"/>
      <c r="F186" s="389"/>
      <c r="G186" s="401"/>
      <c r="H186" s="388">
        <f>+G186-F186</f>
        <v>0</v>
      </c>
      <c r="I186" s="388"/>
      <c r="J186" s="388"/>
      <c r="K186" s="388"/>
      <c r="L186" s="388"/>
      <c r="M186" s="428"/>
      <c r="N186" s="428"/>
      <c r="O186" s="428"/>
      <c r="P186" s="428"/>
    </row>
    <row r="187" spans="1:16" ht="15.75" hidden="1">
      <c r="A187" s="375"/>
      <c r="B187" s="1"/>
      <c r="C187" s="1"/>
      <c r="D187" s="1"/>
      <c r="E187" s="385"/>
      <c r="F187" s="394"/>
      <c r="G187" s="395"/>
      <c r="H187" s="388"/>
      <c r="I187" s="388"/>
      <c r="J187" s="388"/>
      <c r="K187" s="388"/>
      <c r="L187" s="388"/>
      <c r="M187" s="428"/>
      <c r="N187" s="428"/>
      <c r="O187" s="428"/>
      <c r="P187" s="428"/>
    </row>
    <row r="188" spans="1:16" ht="15.75" hidden="1">
      <c r="A188" s="375"/>
      <c r="B188" s="1"/>
      <c r="C188" s="1"/>
      <c r="D188" s="1"/>
      <c r="E188" s="385"/>
      <c r="F188" s="388"/>
      <c r="G188" s="385"/>
      <c r="H188" s="385"/>
      <c r="I188" s="385"/>
      <c r="J188" s="385"/>
      <c r="K188" s="385"/>
      <c r="L188" s="385"/>
      <c r="M188" s="428"/>
      <c r="N188" s="428"/>
      <c r="O188" s="428"/>
      <c r="P188" s="428"/>
    </row>
    <row r="189" spans="1:16" ht="12.75" hidden="1">
      <c r="A189" s="1"/>
      <c r="B189" s="1"/>
      <c r="C189" s="1"/>
      <c r="D189" s="1"/>
      <c r="E189" s="1"/>
      <c r="F189" s="1"/>
      <c r="G189" s="1"/>
      <c r="H189" s="1"/>
      <c r="I189" s="1"/>
      <c r="J189" s="1"/>
      <c r="K189" s="1"/>
      <c r="L189" s="1"/>
      <c r="M189" s="428"/>
      <c r="N189" s="428"/>
      <c r="O189" s="428"/>
      <c r="P189" s="428"/>
    </row>
    <row r="190" spans="1:16" ht="12.75">
      <c r="A190" s="1"/>
      <c r="B190" s="1"/>
      <c r="C190" s="1"/>
      <c r="D190" s="1"/>
      <c r="E190" s="1"/>
      <c r="F190" s="1"/>
      <c r="G190" s="1"/>
      <c r="H190" s="1"/>
      <c r="I190" s="1"/>
      <c r="J190" s="1"/>
      <c r="K190" s="1"/>
      <c r="L190" s="3"/>
      <c r="M190" s="428"/>
      <c r="N190" s="428"/>
      <c r="O190" s="429"/>
      <c r="P190" s="429"/>
    </row>
    <row r="191" spans="1:16" ht="12.75">
      <c r="A191" s="1"/>
      <c r="B191" s="1"/>
      <c r="C191" s="415"/>
      <c r="D191" s="1"/>
      <c r="E191" s="415"/>
      <c r="F191" s="415"/>
      <c r="G191" s="1"/>
      <c r="H191" s="1"/>
      <c r="I191" s="1"/>
      <c r="J191" s="1"/>
      <c r="K191" s="1"/>
      <c r="L191" s="1"/>
      <c r="M191" s="428"/>
      <c r="N191" s="428"/>
      <c r="O191" s="430"/>
      <c r="P191" s="430"/>
    </row>
    <row r="192" spans="1:12" ht="12.75">
      <c r="A192" s="1"/>
      <c r="B192" s="1"/>
      <c r="C192" s="415"/>
      <c r="D192" s="1"/>
      <c r="E192" s="415"/>
      <c r="F192" s="415"/>
      <c r="G192" s="3"/>
      <c r="H192" s="1"/>
      <c r="I192" s="1"/>
      <c r="J192" s="1"/>
      <c r="K192" s="1"/>
      <c r="L192" s="1"/>
    </row>
    <row r="193" spans="1:16" ht="12" customHeight="1">
      <c r="A193" s="1"/>
      <c r="B193" s="1"/>
      <c r="C193" s="415"/>
      <c r="D193" s="1"/>
      <c r="E193" s="415"/>
      <c r="F193" s="415"/>
      <c r="G193" s="378"/>
      <c r="H193" s="1"/>
      <c r="I193" s="1"/>
      <c r="J193" s="1"/>
      <c r="K193" s="1"/>
      <c r="L193" s="1"/>
      <c r="M193" s="376"/>
      <c r="N193" s="376"/>
      <c r="O193" s="376"/>
      <c r="P193" s="376"/>
    </row>
    <row r="194" spans="1:16" ht="12.75">
      <c r="A194" s="1"/>
      <c r="B194" s="1"/>
      <c r="C194" s="1"/>
      <c r="D194" s="1"/>
      <c r="E194" s="1"/>
      <c r="F194" s="1"/>
      <c r="G194" s="1"/>
      <c r="H194" s="1"/>
      <c r="I194" s="1"/>
      <c r="J194" s="1"/>
      <c r="K194" s="1"/>
      <c r="L194" s="1"/>
      <c r="M194" s="376"/>
      <c r="N194" s="376"/>
      <c r="O194" s="376"/>
      <c r="P194" s="376"/>
    </row>
    <row r="195" spans="1:16" ht="12.75">
      <c r="A195" s="1"/>
      <c r="B195" s="1"/>
      <c r="C195" s="1"/>
      <c r="D195" s="1"/>
      <c r="E195" s="1"/>
      <c r="F195" s="1"/>
      <c r="G195" s="1"/>
      <c r="H195" s="1"/>
      <c r="I195" s="1"/>
      <c r="J195" s="1"/>
      <c r="K195" s="1"/>
      <c r="L195" s="1"/>
      <c r="M195" s="419"/>
      <c r="N195" s="419"/>
      <c r="O195" s="376"/>
      <c r="P195" s="376"/>
    </row>
    <row r="196" spans="1:16" ht="12.75">
      <c r="A196" s="1"/>
      <c r="B196" s="1"/>
      <c r="C196" s="1"/>
      <c r="D196" s="1"/>
      <c r="E196" s="1"/>
      <c r="F196" s="1"/>
      <c r="G196" s="1"/>
      <c r="H196" s="1"/>
      <c r="I196" s="1"/>
      <c r="J196" s="1"/>
      <c r="K196" s="1"/>
      <c r="L196" s="1"/>
      <c r="M196" s="376"/>
      <c r="N196" s="376"/>
      <c r="O196" s="376"/>
      <c r="P196" s="376"/>
    </row>
    <row r="197" spans="1:14" ht="12.75">
      <c r="A197" s="1"/>
      <c r="B197" s="1"/>
      <c r="C197" s="1"/>
      <c r="D197" s="1"/>
      <c r="E197" s="1"/>
      <c r="F197" s="1"/>
      <c r="G197" s="1"/>
      <c r="H197" s="1"/>
      <c r="I197" s="1"/>
      <c r="J197" s="1"/>
      <c r="K197" s="1"/>
      <c r="L197" s="1"/>
      <c r="M197" s="718"/>
      <c r="N197" s="718"/>
    </row>
    <row r="198" spans="1:16" ht="12.75">
      <c r="A198" s="1"/>
      <c r="B198" s="1"/>
      <c r="C198" s="1"/>
      <c r="D198" s="1"/>
      <c r="E198" s="1"/>
      <c r="F198" s="1"/>
      <c r="G198" s="1"/>
      <c r="H198" s="1"/>
      <c r="I198" s="1"/>
      <c r="J198" s="1"/>
      <c r="K198" s="1"/>
      <c r="L198" s="1"/>
      <c r="M198" s="420"/>
      <c r="N198" s="420"/>
      <c r="O198" s="421"/>
      <c r="P198" s="421"/>
    </row>
    <row r="199" spans="1:16" ht="12.75">
      <c r="A199" s="1"/>
      <c r="D199" s="1"/>
      <c r="E199" s="1"/>
      <c r="F199" s="1"/>
      <c r="G199" s="1"/>
      <c r="H199" s="1"/>
      <c r="I199" s="1"/>
      <c r="J199" s="1"/>
      <c r="K199" s="1"/>
      <c r="L199" s="1"/>
      <c r="M199" s="420"/>
      <c r="N199" s="420"/>
      <c r="O199" s="421"/>
      <c r="P199" s="421"/>
    </row>
    <row r="200" spans="1:16" ht="12.75">
      <c r="A200" s="1"/>
      <c r="D200" s="1"/>
      <c r="E200" s="1"/>
      <c r="F200" s="1"/>
      <c r="G200" s="1"/>
      <c r="H200" s="1"/>
      <c r="I200" s="1"/>
      <c r="J200" s="1"/>
      <c r="K200" s="1"/>
      <c r="L200" s="1"/>
      <c r="M200" s="422"/>
      <c r="N200" s="422"/>
      <c r="O200" s="419"/>
      <c r="P200" s="419"/>
    </row>
    <row r="201" spans="1:14" ht="12.75">
      <c r="A201" s="1"/>
      <c r="D201" s="1"/>
      <c r="E201" s="1"/>
      <c r="F201" s="1"/>
      <c r="G201" s="1"/>
      <c r="H201" s="1"/>
      <c r="I201" s="1"/>
      <c r="J201" s="1"/>
      <c r="K201" s="1"/>
      <c r="L201" s="1"/>
      <c r="M201" s="718"/>
      <c r="N201" s="718"/>
    </row>
    <row r="202" spans="1:16" ht="12.75">
      <c r="A202" s="1"/>
      <c r="B202" s="1"/>
      <c r="C202" s="1"/>
      <c r="D202" s="1"/>
      <c r="E202" s="1"/>
      <c r="F202" s="1"/>
      <c r="G202" s="1"/>
      <c r="H202" s="1"/>
      <c r="I202" s="1"/>
      <c r="J202" s="1"/>
      <c r="K202" s="1"/>
      <c r="L202" s="1"/>
      <c r="M202" s="417"/>
      <c r="N202" s="417"/>
      <c r="O202" s="423"/>
      <c r="P202" s="423"/>
    </row>
    <row r="203" spans="1:16" ht="12.75">
      <c r="A203" s="1"/>
      <c r="B203" s="1"/>
      <c r="C203" s="1"/>
      <c r="D203" s="1"/>
      <c r="E203" s="1"/>
      <c r="F203" s="1"/>
      <c r="G203" s="1"/>
      <c r="H203" s="1"/>
      <c r="I203" s="1"/>
      <c r="J203" s="1"/>
      <c r="K203" s="1"/>
      <c r="L203" s="1"/>
      <c r="M203" s="417"/>
      <c r="N203" s="417"/>
      <c r="O203" s="423"/>
      <c r="P203" s="423"/>
    </row>
    <row r="204" spans="1:16" ht="12.75">
      <c r="A204" s="1"/>
      <c r="B204" s="1"/>
      <c r="C204" s="1"/>
      <c r="D204" s="1"/>
      <c r="E204" s="1"/>
      <c r="F204" s="1"/>
      <c r="G204" s="1"/>
      <c r="H204" s="1"/>
      <c r="I204" s="1"/>
      <c r="J204" s="1"/>
      <c r="K204" s="1"/>
      <c r="L204" s="1"/>
      <c r="M204" s="418"/>
      <c r="N204" s="418"/>
      <c r="O204" s="424"/>
      <c r="P204" s="424"/>
    </row>
    <row r="205" spans="1:16" ht="12.75">
      <c r="A205" s="1"/>
      <c r="B205" s="1"/>
      <c r="C205" s="1"/>
      <c r="D205" s="1"/>
      <c r="E205" s="1"/>
      <c r="F205" s="1"/>
      <c r="G205" s="1"/>
      <c r="H205" s="1"/>
      <c r="I205" s="1"/>
      <c r="J205" s="1"/>
      <c r="K205" s="1"/>
      <c r="L205" s="1"/>
      <c r="M205" s="417"/>
      <c r="N205" s="417"/>
      <c r="O205" s="376"/>
      <c r="P205" s="376"/>
    </row>
    <row r="206" spans="1:16" ht="12.75">
      <c r="A206" s="1"/>
      <c r="B206" s="1"/>
      <c r="C206" s="1"/>
      <c r="D206" s="1"/>
      <c r="E206" s="1"/>
      <c r="F206" s="1"/>
      <c r="G206" s="1"/>
      <c r="H206" s="1"/>
      <c r="I206" s="1"/>
      <c r="J206" s="1"/>
      <c r="K206" s="1"/>
      <c r="L206" s="1"/>
      <c r="M206" s="417"/>
      <c r="N206" s="417"/>
      <c r="O206" s="419"/>
      <c r="P206" s="419"/>
    </row>
    <row r="207" spans="1:16" ht="12.75">
      <c r="A207" s="1"/>
      <c r="B207" s="1"/>
      <c r="C207" s="1"/>
      <c r="D207" s="1"/>
      <c r="E207" s="1"/>
      <c r="F207" s="1"/>
      <c r="G207" s="1"/>
      <c r="H207" s="1"/>
      <c r="I207" s="1"/>
      <c r="J207" s="1"/>
      <c r="K207" s="1"/>
      <c r="L207" s="1"/>
      <c r="M207" s="417"/>
      <c r="N207" s="417"/>
      <c r="O207" s="419"/>
      <c r="P207" s="419"/>
    </row>
    <row r="208" spans="1:16" ht="12.75">
      <c r="A208" s="1"/>
      <c r="B208" s="1"/>
      <c r="C208" s="1"/>
      <c r="D208" s="1"/>
      <c r="E208" s="1"/>
      <c r="F208" s="1"/>
      <c r="G208" s="1"/>
      <c r="H208" s="1"/>
      <c r="I208" s="1"/>
      <c r="J208" s="1"/>
      <c r="K208" s="1"/>
      <c r="L208" s="1"/>
      <c r="M208" s="418"/>
      <c r="N208" s="418"/>
      <c r="O208" s="425"/>
      <c r="P208" s="425"/>
    </row>
    <row r="209" spans="1:16" ht="12.75">
      <c r="A209" s="1"/>
      <c r="B209" s="1"/>
      <c r="C209" s="1"/>
      <c r="D209" s="1"/>
      <c r="E209" s="1"/>
      <c r="F209" s="1"/>
      <c r="G209" s="1"/>
      <c r="H209" s="1"/>
      <c r="I209" s="1"/>
      <c r="J209" s="1"/>
      <c r="K209" s="1"/>
      <c r="L209" s="1"/>
      <c r="M209" s="376"/>
      <c r="N209" s="376"/>
      <c r="O209" s="376"/>
      <c r="P209" s="376"/>
    </row>
    <row r="210" spans="1:16" ht="12.75">
      <c r="A210" s="1"/>
      <c r="B210" s="1"/>
      <c r="C210" s="1"/>
      <c r="D210" s="1"/>
      <c r="E210" s="1"/>
      <c r="F210" s="1"/>
      <c r="G210" s="1"/>
      <c r="H210" s="1"/>
      <c r="I210" s="1"/>
      <c r="J210" s="1"/>
      <c r="K210" s="1"/>
      <c r="L210" s="1"/>
      <c r="M210" s="376"/>
      <c r="N210" s="376"/>
      <c r="O210" s="376"/>
      <c r="P210" s="376"/>
    </row>
    <row r="211" spans="1:16" ht="12.75">
      <c r="A211" s="1"/>
      <c r="B211" s="1"/>
      <c r="C211" s="1"/>
      <c r="D211" s="1"/>
      <c r="E211" s="1"/>
      <c r="F211" s="1"/>
      <c r="G211" s="1"/>
      <c r="H211" s="1"/>
      <c r="I211" s="1"/>
      <c r="J211" s="1"/>
      <c r="K211" s="1"/>
      <c r="L211" s="1"/>
      <c r="M211" s="376"/>
      <c r="N211" s="376"/>
      <c r="O211" s="376"/>
      <c r="P211" s="376"/>
    </row>
    <row r="212" spans="1:12" ht="12.75">
      <c r="A212" s="1"/>
      <c r="B212" s="1"/>
      <c r="C212" s="1"/>
      <c r="D212" s="1"/>
      <c r="E212" s="1"/>
      <c r="F212" s="1"/>
      <c r="G212" s="1"/>
      <c r="H212" s="1"/>
      <c r="I212" s="1"/>
      <c r="J212" s="1"/>
      <c r="K212" s="1"/>
      <c r="L212" s="1"/>
    </row>
    <row r="213" spans="1:12" ht="12.75">
      <c r="A213" s="1"/>
      <c r="B213" s="1"/>
      <c r="C213" s="1"/>
      <c r="D213" s="1"/>
      <c r="E213" s="1"/>
      <c r="F213" s="1"/>
      <c r="G213" s="1"/>
      <c r="H213" s="1"/>
      <c r="I213" s="1"/>
      <c r="J213" s="1"/>
      <c r="K213" s="1"/>
      <c r="L213" s="1"/>
    </row>
    <row r="214" spans="1:12" ht="12.75">
      <c r="A214" s="1"/>
      <c r="B214" s="1"/>
      <c r="C214" s="1"/>
      <c r="D214" s="1"/>
      <c r="E214" s="1"/>
      <c r="F214" s="1"/>
      <c r="G214" s="1"/>
      <c r="H214" s="1"/>
      <c r="I214" s="1"/>
      <c r="J214" s="1"/>
      <c r="K214" s="1"/>
      <c r="L214" s="1"/>
    </row>
    <row r="215" spans="1:12" ht="12.75">
      <c r="A215" s="1"/>
      <c r="B215" s="1"/>
      <c r="C215" s="1"/>
      <c r="D215" s="1"/>
      <c r="E215" s="1"/>
      <c r="F215" s="1"/>
      <c r="G215" s="1"/>
      <c r="H215" s="1"/>
      <c r="I215" s="1"/>
      <c r="J215" s="1"/>
      <c r="K215" s="1"/>
      <c r="L215" s="1"/>
    </row>
    <row r="216" spans="1:12" ht="12.75">
      <c r="A216" s="1"/>
      <c r="B216" s="1"/>
      <c r="C216" s="1"/>
      <c r="D216" s="1"/>
      <c r="E216" s="1"/>
      <c r="F216" s="1"/>
      <c r="G216" s="1"/>
      <c r="H216" s="1"/>
      <c r="I216" s="1"/>
      <c r="J216" s="1"/>
      <c r="K216" s="1"/>
      <c r="L216" s="1"/>
    </row>
    <row r="217" spans="1:12" ht="12.75">
      <c r="A217" s="1"/>
      <c r="B217" s="1"/>
      <c r="C217" s="1"/>
      <c r="D217" s="1"/>
      <c r="E217" s="1"/>
      <c r="F217" s="1"/>
      <c r="G217" s="1"/>
      <c r="H217" s="1"/>
      <c r="I217" s="1"/>
      <c r="J217" s="1"/>
      <c r="K217" s="1"/>
      <c r="L217" s="1"/>
    </row>
    <row r="218" spans="1:12" ht="12.75">
      <c r="A218" s="1"/>
      <c r="B218" s="1"/>
      <c r="C218" s="1"/>
      <c r="D218" s="1"/>
      <c r="E218" s="1"/>
      <c r="F218" s="1"/>
      <c r="G218" s="1"/>
      <c r="H218" s="1"/>
      <c r="I218" s="1"/>
      <c r="J218" s="1"/>
      <c r="K218" s="1"/>
      <c r="L218" s="1"/>
    </row>
    <row r="219" spans="1:12" ht="12.75">
      <c r="A219" s="1"/>
      <c r="B219" s="1"/>
      <c r="C219" s="1"/>
      <c r="D219" s="1"/>
      <c r="E219" s="1"/>
      <c r="F219" s="1"/>
      <c r="G219" s="1"/>
      <c r="H219" s="1"/>
      <c r="I219" s="1"/>
      <c r="J219" s="1"/>
      <c r="K219" s="1"/>
      <c r="L219" s="1"/>
    </row>
    <row r="220" spans="1:12" ht="12.75">
      <c r="A220" s="1"/>
      <c r="B220" s="1"/>
      <c r="C220" s="1"/>
      <c r="D220" s="1"/>
      <c r="E220" s="1"/>
      <c r="F220" s="1"/>
      <c r="G220" s="1"/>
      <c r="H220" s="1"/>
      <c r="I220" s="1"/>
      <c r="J220" s="1"/>
      <c r="K220" s="1"/>
      <c r="L220" s="1"/>
    </row>
    <row r="221" spans="1:12" ht="12.75">
      <c r="A221" s="1"/>
      <c r="B221" s="1"/>
      <c r="C221" s="1"/>
      <c r="D221" s="1"/>
      <c r="E221" s="1"/>
      <c r="F221" s="1"/>
      <c r="G221" s="1"/>
      <c r="H221" s="1"/>
      <c r="I221" s="1"/>
      <c r="J221" s="1"/>
      <c r="K221" s="1"/>
      <c r="L221" s="1"/>
    </row>
    <row r="222" spans="1:12" ht="12.75">
      <c r="A222" s="1"/>
      <c r="B222" s="1"/>
      <c r="C222" s="1"/>
      <c r="D222" s="1"/>
      <c r="E222" s="1"/>
      <c r="F222" s="1"/>
      <c r="G222" s="1"/>
      <c r="H222" s="1"/>
      <c r="I222" s="1"/>
      <c r="J222" s="1"/>
      <c r="K222" s="1"/>
      <c r="L222" s="1"/>
    </row>
    <row r="223" spans="1:12" ht="12.75">
      <c r="A223" s="1"/>
      <c r="B223" s="1"/>
      <c r="C223" s="1"/>
      <c r="D223" s="1"/>
      <c r="E223" s="1"/>
      <c r="F223" s="1"/>
      <c r="G223" s="1"/>
      <c r="H223" s="1"/>
      <c r="I223" s="1"/>
      <c r="J223" s="1"/>
      <c r="K223" s="1"/>
      <c r="L223" s="1"/>
    </row>
    <row r="224" spans="1:12" ht="12.75">
      <c r="A224" s="1"/>
      <c r="B224" s="1"/>
      <c r="C224" s="1"/>
      <c r="D224" s="1"/>
      <c r="E224" s="1"/>
      <c r="F224" s="1"/>
      <c r="G224" s="1"/>
      <c r="H224" s="1"/>
      <c r="I224" s="1"/>
      <c r="J224" s="1"/>
      <c r="K224" s="1"/>
      <c r="L224" s="1"/>
    </row>
    <row r="225" spans="1:12" ht="12.75">
      <c r="A225" s="1"/>
      <c r="B225" s="1"/>
      <c r="C225" s="1"/>
      <c r="D225" s="1"/>
      <c r="E225" s="1"/>
      <c r="F225" s="1"/>
      <c r="G225" s="1"/>
      <c r="H225" s="1"/>
      <c r="I225" s="1"/>
      <c r="J225" s="1"/>
      <c r="K225" s="1"/>
      <c r="L225" s="1"/>
    </row>
    <row r="226" spans="1:12" ht="12.75">
      <c r="A226" s="1"/>
      <c r="B226" s="1"/>
      <c r="C226" s="1"/>
      <c r="D226" s="1"/>
      <c r="E226" s="1"/>
      <c r="F226" s="1"/>
      <c r="G226" s="1"/>
      <c r="H226" s="1"/>
      <c r="I226" s="1"/>
      <c r="J226" s="1"/>
      <c r="K226" s="1"/>
      <c r="L226" s="1"/>
    </row>
    <row r="227" spans="1:12" ht="12.75">
      <c r="A227" s="1"/>
      <c r="B227" s="1"/>
      <c r="C227" s="1"/>
      <c r="D227" s="1"/>
      <c r="E227" s="1"/>
      <c r="F227" s="1"/>
      <c r="G227" s="1"/>
      <c r="H227" s="1"/>
      <c r="I227" s="1"/>
      <c r="J227" s="1"/>
      <c r="K227" s="1"/>
      <c r="L227" s="1"/>
    </row>
    <row r="228" spans="1:12" ht="12.75">
      <c r="A228" s="1"/>
      <c r="B228" s="1"/>
      <c r="C228" s="1"/>
      <c r="D228" s="1"/>
      <c r="E228" s="1"/>
      <c r="F228" s="1"/>
      <c r="G228" s="1"/>
      <c r="H228" s="1"/>
      <c r="I228" s="1"/>
      <c r="J228" s="1"/>
      <c r="K228" s="1"/>
      <c r="L228" s="1"/>
    </row>
    <row r="229" spans="1:12" ht="12.75">
      <c r="A229" s="1"/>
      <c r="B229" s="1"/>
      <c r="C229" s="1"/>
      <c r="D229" s="1"/>
      <c r="E229" s="1"/>
      <c r="F229" s="1"/>
      <c r="G229" s="1"/>
      <c r="H229" s="1"/>
      <c r="I229" s="1"/>
      <c r="J229" s="1"/>
      <c r="K229" s="1"/>
      <c r="L229" s="1"/>
    </row>
    <row r="230" spans="1:12" ht="12.75">
      <c r="A230" s="1"/>
      <c r="B230" s="1"/>
      <c r="C230" s="1"/>
      <c r="D230" s="1"/>
      <c r="E230" s="1"/>
      <c r="F230" s="1"/>
      <c r="G230" s="1"/>
      <c r="H230" s="1"/>
      <c r="I230" s="1"/>
      <c r="J230" s="1"/>
      <c r="K230" s="1"/>
      <c r="L230" s="1"/>
    </row>
    <row r="231" spans="1:12" ht="12.75">
      <c r="A231" s="1"/>
      <c r="B231" s="1"/>
      <c r="C231" s="1"/>
      <c r="D231" s="1"/>
      <c r="E231" s="1"/>
      <c r="F231" s="1"/>
      <c r="G231" s="1"/>
      <c r="H231" s="1"/>
      <c r="I231" s="1"/>
      <c r="J231" s="1"/>
      <c r="K231" s="1"/>
      <c r="L231" s="1"/>
    </row>
    <row r="232" spans="1:12" ht="12.75">
      <c r="A232" s="1"/>
      <c r="B232" s="1"/>
      <c r="C232" s="1"/>
      <c r="D232" s="1"/>
      <c r="E232" s="1"/>
      <c r="F232" s="1"/>
      <c r="G232" s="1"/>
      <c r="H232" s="1"/>
      <c r="I232" s="1"/>
      <c r="J232" s="1"/>
      <c r="K232" s="1"/>
      <c r="L232" s="1"/>
    </row>
    <row r="233" spans="1:12" ht="12.75">
      <c r="A233" s="1"/>
      <c r="B233" s="1"/>
      <c r="C233" s="1"/>
      <c r="D233" s="1"/>
      <c r="E233" s="1"/>
      <c r="F233" s="1"/>
      <c r="G233" s="1"/>
      <c r="H233" s="1"/>
      <c r="I233" s="1"/>
      <c r="J233" s="1"/>
      <c r="K233" s="1"/>
      <c r="L233" s="1"/>
    </row>
    <row r="234" spans="1:12" ht="12.75">
      <c r="A234" s="1"/>
      <c r="B234" s="1"/>
      <c r="C234" s="1"/>
      <c r="D234" s="1"/>
      <c r="E234" s="1"/>
      <c r="F234" s="1"/>
      <c r="G234" s="1"/>
      <c r="H234" s="1"/>
      <c r="I234" s="1"/>
      <c r="J234" s="1"/>
      <c r="K234" s="1"/>
      <c r="L234" s="1"/>
    </row>
    <row r="235" spans="1:12" ht="12.75">
      <c r="A235" s="1"/>
      <c r="B235" s="1"/>
      <c r="C235" s="1"/>
      <c r="D235" s="1"/>
      <c r="E235" s="1"/>
      <c r="F235" s="1"/>
      <c r="G235" s="1"/>
      <c r="H235" s="1"/>
      <c r="I235" s="1"/>
      <c r="J235" s="1"/>
      <c r="K235" s="1"/>
      <c r="L235" s="1"/>
    </row>
    <row r="236" spans="1:12" ht="12.75">
      <c r="A236" s="1"/>
      <c r="B236" s="1"/>
      <c r="C236" s="1"/>
      <c r="D236" s="1"/>
      <c r="E236" s="1"/>
      <c r="F236" s="1"/>
      <c r="G236" s="1"/>
      <c r="H236" s="1"/>
      <c r="I236" s="1"/>
      <c r="J236" s="1"/>
      <c r="K236" s="1"/>
      <c r="L236" s="1"/>
    </row>
    <row r="237" spans="1:12" ht="12.75">
      <c r="A237" s="1"/>
      <c r="B237" s="1"/>
      <c r="C237" s="1"/>
      <c r="D237" s="1"/>
      <c r="E237" s="1"/>
      <c r="F237" s="1"/>
      <c r="G237" s="1"/>
      <c r="H237" s="1"/>
      <c r="I237" s="1"/>
      <c r="J237" s="1"/>
      <c r="K237" s="1"/>
      <c r="L237" s="1"/>
    </row>
    <row r="238" spans="1:12" ht="12.75">
      <c r="A238" s="1"/>
      <c r="B238" s="1"/>
      <c r="C238" s="1"/>
      <c r="D238" s="1"/>
      <c r="E238" s="1"/>
      <c r="F238" s="1"/>
      <c r="G238" s="1"/>
      <c r="H238" s="1"/>
      <c r="I238" s="1"/>
      <c r="J238" s="1"/>
      <c r="K238" s="1"/>
      <c r="L238" s="1"/>
    </row>
    <row r="239" spans="1:12" ht="12.75">
      <c r="A239" s="1"/>
      <c r="B239" s="1"/>
      <c r="C239" s="1"/>
      <c r="D239" s="1"/>
      <c r="E239" s="1"/>
      <c r="F239" s="1"/>
      <c r="G239" s="1"/>
      <c r="H239" s="1"/>
      <c r="I239" s="1"/>
      <c r="J239" s="1"/>
      <c r="K239" s="1"/>
      <c r="L239" s="1"/>
    </row>
    <row r="240" spans="1:12" ht="12.75">
      <c r="A240" s="1"/>
      <c r="B240" s="1"/>
      <c r="C240" s="1"/>
      <c r="D240" s="1"/>
      <c r="E240" s="1"/>
      <c r="F240" s="1"/>
      <c r="G240" s="1"/>
      <c r="H240" s="1"/>
      <c r="I240" s="1"/>
      <c r="J240" s="1"/>
      <c r="K240" s="1"/>
      <c r="L240" s="1"/>
    </row>
    <row r="241" spans="1:12" ht="12.75">
      <c r="A241" s="1"/>
      <c r="B241" s="1"/>
      <c r="C241" s="1"/>
      <c r="D241" s="1"/>
      <c r="E241" s="1"/>
      <c r="F241" s="1"/>
      <c r="G241" s="1"/>
      <c r="H241" s="1"/>
      <c r="I241" s="1"/>
      <c r="J241" s="1"/>
      <c r="K241" s="1"/>
      <c r="L241" s="1"/>
    </row>
    <row r="242" spans="1:12" ht="12.75">
      <c r="A242" s="1"/>
      <c r="B242" s="1"/>
      <c r="C242" s="1"/>
      <c r="D242" s="1"/>
      <c r="E242" s="1"/>
      <c r="F242" s="1"/>
      <c r="G242" s="1"/>
      <c r="H242" s="1"/>
      <c r="I242" s="1"/>
      <c r="J242" s="1"/>
      <c r="K242" s="1"/>
      <c r="L242" s="1"/>
    </row>
    <row r="243" spans="1:12" ht="12.75">
      <c r="A243" s="1"/>
      <c r="B243" s="1"/>
      <c r="C243" s="1"/>
      <c r="D243" s="1"/>
      <c r="E243" s="1"/>
      <c r="F243" s="1"/>
      <c r="G243" s="1"/>
      <c r="H243" s="1"/>
      <c r="I243" s="1"/>
      <c r="J243" s="1"/>
      <c r="K243" s="1"/>
      <c r="L243" s="1"/>
    </row>
    <row r="244" spans="1:12" ht="12.75">
      <c r="A244" s="1"/>
      <c r="B244" s="1"/>
      <c r="C244" s="1"/>
      <c r="D244" s="1"/>
      <c r="E244" s="1"/>
      <c r="F244" s="1"/>
      <c r="G244" s="1"/>
      <c r="H244" s="1"/>
      <c r="I244" s="1"/>
      <c r="J244" s="1"/>
      <c r="K244" s="1"/>
      <c r="L244" s="1"/>
    </row>
    <row r="245" spans="1:12" ht="12.75">
      <c r="A245" s="1"/>
      <c r="B245" s="1"/>
      <c r="C245" s="1"/>
      <c r="D245" s="1"/>
      <c r="E245" s="1"/>
      <c r="F245" s="1"/>
      <c r="G245" s="1"/>
      <c r="H245" s="1"/>
      <c r="I245" s="1"/>
      <c r="J245" s="1"/>
      <c r="K245" s="1"/>
      <c r="L245" s="1"/>
    </row>
    <row r="246" spans="1:12" ht="12.75">
      <c r="A246" s="1"/>
      <c r="B246" s="1"/>
      <c r="C246" s="1"/>
      <c r="D246" s="1"/>
      <c r="E246" s="1"/>
      <c r="F246" s="1"/>
      <c r="G246" s="1"/>
      <c r="H246" s="1"/>
      <c r="I246" s="1"/>
      <c r="J246" s="1"/>
      <c r="K246" s="1"/>
      <c r="L246" s="1"/>
    </row>
    <row r="247" spans="1:12" ht="12.75">
      <c r="A247" s="1"/>
      <c r="B247" s="1"/>
      <c r="C247" s="1"/>
      <c r="D247" s="1"/>
      <c r="E247" s="1"/>
      <c r="F247" s="1"/>
      <c r="G247" s="1"/>
      <c r="H247" s="1"/>
      <c r="I247" s="1"/>
      <c r="J247" s="1"/>
      <c r="K247" s="1"/>
      <c r="L247" s="1"/>
    </row>
    <row r="248" spans="1:12" ht="12.75">
      <c r="A248" s="1"/>
      <c r="B248" s="1"/>
      <c r="C248" s="1"/>
      <c r="D248" s="1"/>
      <c r="E248" s="1"/>
      <c r="F248" s="1"/>
      <c r="G248" s="1"/>
      <c r="H248" s="1"/>
      <c r="I248" s="1"/>
      <c r="J248" s="1"/>
      <c r="K248" s="1"/>
      <c r="L248" s="1"/>
    </row>
    <row r="249" spans="1:12" ht="12.75">
      <c r="A249" s="1"/>
      <c r="B249" s="1"/>
      <c r="C249" s="1"/>
      <c r="D249" s="1"/>
      <c r="E249" s="1"/>
      <c r="F249" s="1"/>
      <c r="G249" s="1"/>
      <c r="H249" s="1"/>
      <c r="I249" s="1"/>
      <c r="J249" s="1"/>
      <c r="K249" s="1"/>
      <c r="L249" s="1"/>
    </row>
    <row r="250" spans="1:12" ht="12.75">
      <c r="A250" s="1"/>
      <c r="B250" s="1"/>
      <c r="C250" s="1"/>
      <c r="D250" s="1"/>
      <c r="E250" s="1"/>
      <c r="F250" s="1"/>
      <c r="G250" s="1"/>
      <c r="H250" s="1"/>
      <c r="I250" s="1"/>
      <c r="J250" s="1"/>
      <c r="K250" s="1"/>
      <c r="L250" s="1"/>
    </row>
    <row r="251" spans="1:12" ht="12.75">
      <c r="A251" s="1"/>
      <c r="B251" s="1"/>
      <c r="C251" s="1"/>
      <c r="D251" s="1"/>
      <c r="E251" s="1"/>
      <c r="F251" s="1"/>
      <c r="G251" s="1"/>
      <c r="H251" s="1"/>
      <c r="I251" s="1"/>
      <c r="J251" s="1"/>
      <c r="K251" s="1"/>
      <c r="L251" s="1"/>
    </row>
    <row r="252" spans="1:12" ht="12.75">
      <c r="A252" s="1"/>
      <c r="B252" s="1"/>
      <c r="C252" s="1"/>
      <c r="D252" s="1"/>
      <c r="E252" s="1"/>
      <c r="F252" s="1"/>
      <c r="G252" s="1"/>
      <c r="H252" s="1"/>
      <c r="I252" s="1"/>
      <c r="J252" s="1"/>
      <c r="K252" s="1"/>
      <c r="L252" s="1"/>
    </row>
    <row r="253" spans="1:12" ht="12.75">
      <c r="A253" s="1"/>
      <c r="B253" s="1"/>
      <c r="C253" s="1"/>
      <c r="D253" s="1"/>
      <c r="E253" s="1"/>
      <c r="F253" s="1"/>
      <c r="G253" s="1"/>
      <c r="H253" s="1"/>
      <c r="I253" s="1"/>
      <c r="J253" s="1"/>
      <c r="K253" s="1"/>
      <c r="L253" s="1"/>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1"/>
      <c r="B256" s="1"/>
      <c r="C256" s="1"/>
      <c r="D256" s="1"/>
      <c r="E256" s="1"/>
      <c r="F256" s="1"/>
      <c r="G256" s="1"/>
      <c r="H256" s="1"/>
      <c r="I256" s="1"/>
      <c r="J256" s="1"/>
      <c r="K256" s="1"/>
      <c r="L256" s="1"/>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sheetData>
  <sheetProtection/>
  <mergeCells count="6">
    <mergeCell ref="M201:N201"/>
    <mergeCell ref="M197:N197"/>
    <mergeCell ref="A1:Q1"/>
    <mergeCell ref="A2:Q2"/>
    <mergeCell ref="A3:Q3"/>
    <mergeCell ref="A4:Q4"/>
  </mergeCells>
  <printOptions horizontalCentered="1"/>
  <pageMargins left="0.2362204724409449" right="0.2362204724409449" top="0.22" bottom="0.28" header="0.17" footer="0"/>
  <pageSetup horizontalDpi="600" verticalDpi="600" orientation="portrait" scale="61" r:id="rId1"/>
  <rowBreaks count="1" manualBreakCount="1">
    <brk id="182" max="17" man="1"/>
  </rowBreaks>
</worksheet>
</file>

<file path=xl/worksheets/sheet9.xml><?xml version="1.0" encoding="utf-8"?>
<worksheet xmlns="http://schemas.openxmlformats.org/spreadsheetml/2006/main" xmlns:r="http://schemas.openxmlformats.org/officeDocument/2006/relationships">
  <dimension ref="A1:M225"/>
  <sheetViews>
    <sheetView view="pageBreakPreview" zoomScale="75" zoomScaleNormal="75" zoomScaleSheetLayoutView="75" zoomScalePageLayoutView="0" workbookViewId="0" topLeftCell="A1">
      <pane xSplit="1" ySplit="6" topLeftCell="B77" activePane="bottomRight" state="frozen"/>
      <selection pane="topLeft" activeCell="A1" sqref="A1"/>
      <selection pane="topRight" activeCell="B1" sqref="B1"/>
      <selection pane="bottomLeft" activeCell="A7" sqref="A7"/>
      <selection pane="bottomRight" activeCell="C38" sqref="C38"/>
    </sheetView>
  </sheetViews>
  <sheetFormatPr defaultColWidth="11.421875" defaultRowHeight="12.75" outlineLevelRow="2"/>
  <cols>
    <col min="1" max="1" width="39.8515625" style="376" customWidth="1"/>
    <col min="2" max="2" width="15.140625" style="376" customWidth="1"/>
    <col min="3" max="3" width="15.28125" style="376" customWidth="1"/>
    <col min="4" max="4" width="16.57421875" style="376" customWidth="1"/>
    <col min="5" max="5" width="15.57421875" style="376" customWidth="1"/>
    <col min="6" max="6" width="19.7109375" style="376" bestFit="1" customWidth="1"/>
    <col min="7" max="7" width="19.140625" style="376" customWidth="1"/>
    <col min="8" max="8" width="16.8515625" style="376" bestFit="1" customWidth="1"/>
    <col min="9" max="9" width="14.57421875" style="376" customWidth="1"/>
    <col min="10" max="10" width="17.28125" style="376" bestFit="1" customWidth="1"/>
    <col min="11" max="14" width="14.57421875" style="376" customWidth="1"/>
    <col min="15" max="16384" width="11.421875" style="376" customWidth="1"/>
  </cols>
  <sheetData>
    <row r="1" spans="1:8" ht="15">
      <c r="A1" s="727" t="s">
        <v>18</v>
      </c>
      <c r="B1" s="728"/>
      <c r="C1" s="728"/>
      <c r="D1" s="728"/>
      <c r="E1" s="728"/>
      <c r="F1" s="728"/>
      <c r="G1" s="728"/>
      <c r="H1" s="728"/>
    </row>
    <row r="2" spans="1:8" ht="15">
      <c r="A2" s="729" t="s">
        <v>51</v>
      </c>
      <c r="B2" s="730"/>
      <c r="C2" s="730"/>
      <c r="D2" s="730"/>
      <c r="E2" s="730"/>
      <c r="F2" s="730"/>
      <c r="G2" s="730"/>
      <c r="H2" s="730"/>
    </row>
    <row r="3" spans="1:8" ht="15">
      <c r="A3" s="729" t="s">
        <v>462</v>
      </c>
      <c r="B3" s="730"/>
      <c r="C3" s="730"/>
      <c r="D3" s="730"/>
      <c r="E3" s="730"/>
      <c r="F3" s="730"/>
      <c r="G3" s="730"/>
      <c r="H3" s="730"/>
    </row>
    <row r="4" spans="1:8" ht="15">
      <c r="A4" s="729" t="s">
        <v>463</v>
      </c>
      <c r="B4" s="730"/>
      <c r="C4" s="730"/>
      <c r="D4" s="730"/>
      <c r="E4" s="730"/>
      <c r="F4" s="730"/>
      <c r="G4" s="730"/>
      <c r="H4" s="730"/>
    </row>
    <row r="5" spans="1:9" ht="15.75" thickBot="1">
      <c r="A5" s="725" t="s">
        <v>307</v>
      </c>
      <c r="B5" s="726"/>
      <c r="C5" s="726"/>
      <c r="D5" s="726"/>
      <c r="E5" s="726"/>
      <c r="F5" s="726"/>
      <c r="G5" s="726"/>
      <c r="H5" s="726"/>
      <c r="I5" s="420"/>
    </row>
    <row r="6" spans="1:9" ht="45.75" thickBot="1">
      <c r="A6" s="637" t="s">
        <v>29</v>
      </c>
      <c r="B6" s="638" t="s">
        <v>255</v>
      </c>
      <c r="C6" s="638" t="s">
        <v>256</v>
      </c>
      <c r="D6" s="638" t="s">
        <v>261</v>
      </c>
      <c r="E6" s="638" t="s">
        <v>257</v>
      </c>
      <c r="F6" s="638" t="s">
        <v>258</v>
      </c>
      <c r="G6" s="638" t="s">
        <v>16</v>
      </c>
      <c r="H6" s="638" t="s">
        <v>464</v>
      </c>
      <c r="I6" s="420"/>
    </row>
    <row r="7" spans="1:9" ht="15">
      <c r="A7" s="639" t="s">
        <v>259</v>
      </c>
      <c r="B7" s="640"/>
      <c r="C7" s="640"/>
      <c r="D7" s="640"/>
      <c r="E7" s="640"/>
      <c r="F7" s="640"/>
      <c r="G7" s="640"/>
      <c r="H7" s="640"/>
      <c r="I7" s="641"/>
    </row>
    <row r="8" spans="1:11" ht="15">
      <c r="A8" s="642" t="s">
        <v>251</v>
      </c>
      <c r="B8" s="493">
        <f>+B9+B10+B11+B12+B13+B14+B15+B16+B17</f>
        <v>720701056</v>
      </c>
      <c r="C8" s="493">
        <f>+C9+C10+C11+C12+C13+C14+C15+C16+C17</f>
        <v>193434684</v>
      </c>
      <c r="D8" s="493">
        <f>+D9+D10+D11+D12+D13+D14+D15+D16+D17</f>
        <v>838250285</v>
      </c>
      <c r="E8" s="493">
        <f>+E9+E10+E11+E12+E13+E14+E15+E16+E17</f>
        <v>171170795</v>
      </c>
      <c r="F8" s="493">
        <f>+SUM(F9:F17)</f>
        <v>1923556820</v>
      </c>
      <c r="G8" s="493">
        <f>+G9+G10+G11+G12+G13+G15+G16+G17</f>
        <v>156628458</v>
      </c>
      <c r="H8" s="493">
        <f>+H9+H10+H11+H12+H13+H15+H16+H17</f>
        <v>2080185278</v>
      </c>
      <c r="I8" s="420"/>
      <c r="J8" s="643"/>
      <c r="K8" s="643"/>
    </row>
    <row r="9" spans="1:13" ht="14.25">
      <c r="A9" s="644" t="s">
        <v>262</v>
      </c>
      <c r="B9" s="496">
        <v>485929150</v>
      </c>
      <c r="C9" s="496">
        <v>136807033</v>
      </c>
      <c r="D9" s="496">
        <v>559587084</v>
      </c>
      <c r="E9" s="496">
        <v>116238406</v>
      </c>
      <c r="F9" s="496">
        <f aca="true" t="shared" si="0" ref="F9:F17">+SUM(B9:E9)</f>
        <v>1298561673</v>
      </c>
      <c r="G9" s="496">
        <v>104696117</v>
      </c>
      <c r="H9" s="496">
        <f>+G9+F9</f>
        <v>1403257790</v>
      </c>
      <c r="I9" s="645"/>
      <c r="M9" s="646"/>
    </row>
    <row r="10" spans="1:13" ht="14.25">
      <c r="A10" s="644" t="s">
        <v>5</v>
      </c>
      <c r="B10" s="496">
        <v>34310222</v>
      </c>
      <c r="C10" s="496">
        <v>6647472</v>
      </c>
      <c r="D10" s="496">
        <v>41362435</v>
      </c>
      <c r="E10" s="496">
        <v>8140640</v>
      </c>
      <c r="F10" s="496">
        <f t="shared" si="0"/>
        <v>90460769</v>
      </c>
      <c r="G10" s="496">
        <v>8247378</v>
      </c>
      <c r="H10" s="496">
        <f aca="true" t="shared" si="1" ref="H10:H19">+G10+F10</f>
        <v>98708147</v>
      </c>
      <c r="I10" s="645"/>
      <c r="J10" s="645"/>
      <c r="K10" s="647"/>
      <c r="L10" s="419"/>
      <c r="M10" s="419"/>
    </row>
    <row r="11" spans="1:13" ht="14.25">
      <c r="A11" s="644" t="s">
        <v>6</v>
      </c>
      <c r="B11" s="496">
        <v>3286105</v>
      </c>
      <c r="C11" s="496">
        <v>843375</v>
      </c>
      <c r="D11" s="496">
        <v>4608895</v>
      </c>
      <c r="E11" s="496">
        <v>960113</v>
      </c>
      <c r="F11" s="496">
        <f t="shared" si="0"/>
        <v>9698488</v>
      </c>
      <c r="G11" s="496">
        <v>838104</v>
      </c>
      <c r="H11" s="496">
        <f t="shared" si="1"/>
        <v>10536592</v>
      </c>
      <c r="I11" s="645"/>
      <c r="J11" s="645"/>
      <c r="K11" s="647"/>
      <c r="L11" s="419"/>
      <c r="M11" s="419"/>
    </row>
    <row r="12" spans="1:11" ht="14.25">
      <c r="A12" s="644" t="s">
        <v>1</v>
      </c>
      <c r="B12" s="496">
        <v>34310222</v>
      </c>
      <c r="C12" s="496">
        <v>6647472</v>
      </c>
      <c r="D12" s="496">
        <v>41362435</v>
      </c>
      <c r="E12" s="496">
        <v>8140640</v>
      </c>
      <c r="F12" s="496">
        <f t="shared" si="0"/>
        <v>90460769</v>
      </c>
      <c r="G12" s="496">
        <v>8247378</v>
      </c>
      <c r="H12" s="496">
        <f t="shared" si="1"/>
        <v>98708147</v>
      </c>
      <c r="I12" s="645"/>
      <c r="J12" s="645"/>
      <c r="K12" s="647"/>
    </row>
    <row r="13" spans="1:11" ht="14.25">
      <c r="A13" s="644" t="s">
        <v>2</v>
      </c>
      <c r="B13" s="496">
        <v>21950619</v>
      </c>
      <c r="C13" s="496">
        <v>5766417</v>
      </c>
      <c r="D13" s="496">
        <v>24088673</v>
      </c>
      <c r="E13" s="496">
        <v>4142371</v>
      </c>
      <c r="F13" s="496">
        <f t="shared" si="0"/>
        <v>55948080</v>
      </c>
      <c r="G13" s="496">
        <v>4034435</v>
      </c>
      <c r="H13" s="496">
        <f t="shared" si="1"/>
        <v>59982515</v>
      </c>
      <c r="I13" s="645"/>
      <c r="J13" s="645"/>
      <c r="K13" s="647"/>
    </row>
    <row r="14" spans="1:11" ht="14.25">
      <c r="A14" s="644" t="s">
        <v>224</v>
      </c>
      <c r="B14" s="496">
        <v>0</v>
      </c>
      <c r="C14" s="496">
        <v>0</v>
      </c>
      <c r="D14" s="496">
        <v>0</v>
      </c>
      <c r="E14" s="496">
        <v>0</v>
      </c>
      <c r="F14" s="496">
        <f t="shared" si="0"/>
        <v>0</v>
      </c>
      <c r="G14" s="496">
        <v>24971560</v>
      </c>
      <c r="H14" s="496">
        <f t="shared" si="1"/>
        <v>24971560</v>
      </c>
      <c r="I14" s="645"/>
      <c r="J14" s="645"/>
      <c r="K14" s="647"/>
    </row>
    <row r="15" spans="1:11" ht="14.25">
      <c r="A15" s="644" t="s">
        <v>3</v>
      </c>
      <c r="B15" s="496">
        <v>99040558</v>
      </c>
      <c r="C15" s="496">
        <v>25708215</v>
      </c>
      <c r="D15" s="496">
        <v>117800783</v>
      </c>
      <c r="E15" s="496">
        <v>23536325</v>
      </c>
      <c r="F15" s="496">
        <f t="shared" si="0"/>
        <v>266085881</v>
      </c>
      <c r="G15" s="496">
        <v>21881189</v>
      </c>
      <c r="H15" s="496">
        <f t="shared" si="1"/>
        <v>287967070</v>
      </c>
      <c r="I15" s="645"/>
      <c r="J15" s="645"/>
      <c r="K15" s="647"/>
    </row>
    <row r="16" spans="1:11" ht="14.25">
      <c r="A16" s="644" t="s">
        <v>7</v>
      </c>
      <c r="B16" s="496">
        <v>18609780</v>
      </c>
      <c r="C16" s="496">
        <v>4895700</v>
      </c>
      <c r="D16" s="496">
        <v>21972400</v>
      </c>
      <c r="E16" s="496">
        <v>4450600</v>
      </c>
      <c r="F16" s="496">
        <f t="shared" si="0"/>
        <v>49928480</v>
      </c>
      <c r="G16" s="496">
        <v>3860660</v>
      </c>
      <c r="H16" s="496">
        <f t="shared" si="1"/>
        <v>53789140</v>
      </c>
      <c r="I16" s="645"/>
      <c r="J16" s="645"/>
      <c r="K16" s="647"/>
    </row>
    <row r="17" spans="1:11" ht="14.25">
      <c r="A17" s="644" t="s">
        <v>4</v>
      </c>
      <c r="B17" s="496">
        <v>23264400</v>
      </c>
      <c r="C17" s="496">
        <v>6119000</v>
      </c>
      <c r="D17" s="496">
        <v>27467580</v>
      </c>
      <c r="E17" s="496">
        <v>5561700</v>
      </c>
      <c r="F17" s="496">
        <f t="shared" si="0"/>
        <v>62412680</v>
      </c>
      <c r="G17" s="496">
        <v>4823197</v>
      </c>
      <c r="H17" s="496">
        <f t="shared" si="1"/>
        <v>67235877</v>
      </c>
      <c r="I17" s="645"/>
      <c r="J17" s="645"/>
      <c r="K17" s="647"/>
    </row>
    <row r="18" spans="1:11" ht="14.25">
      <c r="A18" s="644" t="s">
        <v>260</v>
      </c>
      <c r="B18" s="496">
        <v>300000</v>
      </c>
      <c r="C18" s="496">
        <v>300000</v>
      </c>
      <c r="D18" s="496">
        <v>900000</v>
      </c>
      <c r="E18" s="496">
        <v>300000</v>
      </c>
      <c r="F18" s="496">
        <f>+B18+C18+D18+E18</f>
        <v>1800000</v>
      </c>
      <c r="G18" s="496">
        <v>900000</v>
      </c>
      <c r="H18" s="496">
        <f t="shared" si="1"/>
        <v>2700000</v>
      </c>
      <c r="I18" s="645"/>
      <c r="J18" s="645"/>
      <c r="K18" s="647"/>
    </row>
    <row r="19" spans="1:11" ht="14.25">
      <c r="A19" s="644" t="s">
        <v>20</v>
      </c>
      <c r="B19" s="494">
        <v>29263976</v>
      </c>
      <c r="C19" s="648">
        <v>0</v>
      </c>
      <c r="D19" s="494">
        <v>19666664</v>
      </c>
      <c r="E19" s="494">
        <v>0</v>
      </c>
      <c r="F19" s="496">
        <f>+SUM(B19:E19)</f>
        <v>48930640</v>
      </c>
      <c r="G19" s="496">
        <v>50022700</v>
      </c>
      <c r="H19" s="496">
        <f t="shared" si="1"/>
        <v>98953340</v>
      </c>
      <c r="I19" s="645"/>
      <c r="J19" s="649"/>
      <c r="K19" s="647"/>
    </row>
    <row r="20" spans="1:11" ht="15">
      <c r="A20" s="650" t="s">
        <v>252</v>
      </c>
      <c r="B20" s="495">
        <f>SUM(B9:B19)</f>
        <v>750265032</v>
      </c>
      <c r="C20" s="495">
        <f>SUM(C9:C19)</f>
        <v>193734684</v>
      </c>
      <c r="D20" s="495">
        <f>SUM(D9:D19)</f>
        <v>858816949</v>
      </c>
      <c r="E20" s="495">
        <f>SUM(E9:E19)</f>
        <v>171470795</v>
      </c>
      <c r="F20" s="495">
        <f>+SUM(F9:F19)</f>
        <v>1974287460</v>
      </c>
      <c r="G20" s="495">
        <f>SUM(G9:G19)</f>
        <v>232522718</v>
      </c>
      <c r="H20" s="495">
        <f>+SUM(H9:H19)</f>
        <v>2206810178</v>
      </c>
      <c r="I20" s="645"/>
      <c r="J20" s="645"/>
      <c r="K20" s="647">
        <v>14</v>
      </c>
    </row>
    <row r="21" spans="1:11" ht="15">
      <c r="A21" s="652" t="s">
        <v>21</v>
      </c>
      <c r="B21" s="496"/>
      <c r="C21" s="496"/>
      <c r="D21" s="496"/>
      <c r="E21" s="496"/>
      <c r="F21" s="496"/>
      <c r="G21" s="495"/>
      <c r="H21" s="496"/>
      <c r="I21" s="645"/>
      <c r="J21" s="645"/>
      <c r="K21" s="647"/>
    </row>
    <row r="22" spans="1:11" ht="14.25">
      <c r="A22" s="653" t="s">
        <v>41</v>
      </c>
      <c r="B22" s="496">
        <v>0</v>
      </c>
      <c r="C22" s="496">
        <v>6000000.06</v>
      </c>
      <c r="D22" s="496">
        <v>0</v>
      </c>
      <c r="E22" s="496"/>
      <c r="F22" s="496">
        <f aca="true" t="shared" si="2" ref="F22:F35">SUM(B22:E22)</f>
        <v>6000000.06</v>
      </c>
      <c r="G22" s="496">
        <v>59440501.510000005</v>
      </c>
      <c r="H22" s="496">
        <f aca="true" t="shared" si="3" ref="H22:H35">+G22+F22</f>
        <v>65440501.57000001</v>
      </c>
      <c r="J22" s="645"/>
      <c r="K22" s="647"/>
    </row>
    <row r="23" spans="1:11" ht="14.25">
      <c r="A23" s="653" t="s">
        <v>42</v>
      </c>
      <c r="B23" s="496"/>
      <c r="C23" s="496"/>
      <c r="D23" s="496"/>
      <c r="E23" s="496"/>
      <c r="F23" s="496">
        <f t="shared" si="2"/>
        <v>0</v>
      </c>
      <c r="G23" s="496">
        <v>6225763.688</v>
      </c>
      <c r="H23" s="496">
        <f t="shared" si="3"/>
        <v>6225763.688</v>
      </c>
      <c r="I23" s="645"/>
      <c r="J23" s="645"/>
      <c r="K23" s="647"/>
    </row>
    <row r="24" spans="1:11" ht="14.25">
      <c r="A24" s="653" t="s">
        <v>43</v>
      </c>
      <c r="B24" s="496"/>
      <c r="C24" s="496"/>
      <c r="D24" s="496">
        <v>4557857</v>
      </c>
      <c r="E24" s="496"/>
      <c r="F24" s="496">
        <f t="shared" si="2"/>
        <v>4557857</v>
      </c>
      <c r="G24" s="496">
        <v>16774440</v>
      </c>
      <c r="H24" s="496">
        <f t="shared" si="3"/>
        <v>21332297</v>
      </c>
      <c r="I24" s="654"/>
      <c r="J24" s="654"/>
      <c r="K24" s="647"/>
    </row>
    <row r="25" spans="1:9" ht="14.25">
      <c r="A25" s="653" t="s">
        <v>22</v>
      </c>
      <c r="B25" s="496">
        <v>5755833</v>
      </c>
      <c r="C25" s="496">
        <v>5755833</v>
      </c>
      <c r="D25" s="496">
        <v>5755834</v>
      </c>
      <c r="E25" s="496">
        <v>5755833</v>
      </c>
      <c r="F25" s="496">
        <f t="shared" si="2"/>
        <v>23023333</v>
      </c>
      <c r="G25" s="496">
        <v>21520876</v>
      </c>
      <c r="H25" s="496">
        <f t="shared" si="3"/>
        <v>44544209</v>
      </c>
      <c r="I25" s="420"/>
    </row>
    <row r="26" spans="1:9" ht="14.25">
      <c r="A26" s="653" t="s">
        <v>44</v>
      </c>
      <c r="B26" s="496">
        <v>8683076.783333333</v>
      </c>
      <c r="C26" s="496">
        <v>3936107.783333333</v>
      </c>
      <c r="D26" s="496">
        <v>5588885</v>
      </c>
      <c r="E26" s="496">
        <v>5279198.583333333</v>
      </c>
      <c r="F26" s="496">
        <f t="shared" si="2"/>
        <v>23487268.15</v>
      </c>
      <c r="G26" s="496">
        <v>25381855.2</v>
      </c>
      <c r="H26" s="496">
        <f t="shared" si="3"/>
        <v>48869123.349999994</v>
      </c>
      <c r="I26" s="420"/>
    </row>
    <row r="27" spans="1:9" ht="14.25">
      <c r="A27" s="653" t="s">
        <v>23</v>
      </c>
      <c r="B27" s="496">
        <v>2206608</v>
      </c>
      <c r="C27" s="496">
        <v>0</v>
      </c>
      <c r="D27" s="496">
        <v>1602216</v>
      </c>
      <c r="E27" s="496"/>
      <c r="F27" s="496">
        <f t="shared" si="2"/>
        <v>3808824</v>
      </c>
      <c r="G27" s="496">
        <v>39902580</v>
      </c>
      <c r="H27" s="496">
        <f t="shared" si="3"/>
        <v>43711404</v>
      </c>
      <c r="I27" s="420"/>
    </row>
    <row r="28" spans="1:9" ht="14.25">
      <c r="A28" s="653" t="s">
        <v>267</v>
      </c>
      <c r="B28" s="496">
        <v>6678711</v>
      </c>
      <c r="C28" s="496">
        <v>14953845</v>
      </c>
      <c r="D28" s="496">
        <v>147959375</v>
      </c>
      <c r="E28" s="496">
        <v>9573444</v>
      </c>
      <c r="F28" s="496">
        <f t="shared" si="2"/>
        <v>179165375</v>
      </c>
      <c r="G28" s="496">
        <v>9936892</v>
      </c>
      <c r="H28" s="496">
        <f t="shared" si="3"/>
        <v>189102267</v>
      </c>
      <c r="I28" s="420"/>
    </row>
    <row r="29" spans="1:9" ht="14.25">
      <c r="A29" s="653" t="s">
        <v>195</v>
      </c>
      <c r="B29" s="496">
        <v>18999349.8</v>
      </c>
      <c r="C29" s="496">
        <v>0</v>
      </c>
      <c r="D29" s="496">
        <v>11287207.2</v>
      </c>
      <c r="E29" s="496"/>
      <c r="F29" s="496">
        <f t="shared" si="2"/>
        <v>30286557</v>
      </c>
      <c r="G29" s="496">
        <v>9766447.6</v>
      </c>
      <c r="H29" s="496">
        <f t="shared" si="3"/>
        <v>40053004.6</v>
      </c>
      <c r="I29" s="420"/>
    </row>
    <row r="30" spans="1:9" ht="14.25">
      <c r="A30" s="653" t="s">
        <v>24</v>
      </c>
      <c r="B30" s="496">
        <v>39928952.75</v>
      </c>
      <c r="C30" s="496">
        <v>3000000.25</v>
      </c>
      <c r="D30" s="496">
        <v>35600305.5</v>
      </c>
      <c r="E30" s="496">
        <v>12621295.5</v>
      </c>
      <c r="F30" s="496">
        <f t="shared" si="2"/>
        <v>91150554</v>
      </c>
      <c r="G30" s="496">
        <v>20728000.25</v>
      </c>
      <c r="H30" s="496">
        <f t="shared" si="3"/>
        <v>111878554.25</v>
      </c>
      <c r="I30" s="420"/>
    </row>
    <row r="31" spans="1:9" ht="14.25">
      <c r="A31" s="653" t="s">
        <v>40</v>
      </c>
      <c r="B31" s="496"/>
      <c r="C31" s="496">
        <v>0</v>
      </c>
      <c r="D31" s="496">
        <v>1460878</v>
      </c>
      <c r="E31" s="496"/>
      <c r="F31" s="496">
        <f t="shared" si="2"/>
        <v>1460878</v>
      </c>
      <c r="G31" s="496">
        <v>2669200</v>
      </c>
      <c r="H31" s="496">
        <f t="shared" si="3"/>
        <v>4130078</v>
      </c>
      <c r="I31" s="420"/>
    </row>
    <row r="32" spans="1:9" ht="14.25">
      <c r="A32" s="653" t="s">
        <v>46</v>
      </c>
      <c r="B32" s="496">
        <v>3825595</v>
      </c>
      <c r="C32" s="496">
        <v>0</v>
      </c>
      <c r="D32" s="496">
        <v>30682101</v>
      </c>
      <c r="E32" s="496"/>
      <c r="F32" s="496">
        <f t="shared" si="2"/>
        <v>34507696</v>
      </c>
      <c r="G32" s="496">
        <v>22499156</v>
      </c>
      <c r="H32" s="496">
        <f t="shared" si="3"/>
        <v>57006852</v>
      </c>
      <c r="I32" s="420"/>
    </row>
    <row r="33" spans="1:9" ht="14.25">
      <c r="A33" s="653" t="s">
        <v>47</v>
      </c>
      <c r="B33" s="496"/>
      <c r="C33" s="496"/>
      <c r="D33" s="496"/>
      <c r="E33" s="496"/>
      <c r="F33" s="496">
        <f t="shared" si="2"/>
        <v>0</v>
      </c>
      <c r="G33" s="496">
        <v>10794262.719999999</v>
      </c>
      <c r="H33" s="496">
        <f t="shared" si="3"/>
        <v>10794262.719999999</v>
      </c>
      <c r="I33" s="420"/>
    </row>
    <row r="34" spans="1:9" ht="14.25">
      <c r="A34" s="653" t="s">
        <v>48</v>
      </c>
      <c r="B34" s="496"/>
      <c r="C34" s="496"/>
      <c r="D34" s="496">
        <v>24681284.160000004</v>
      </c>
      <c r="E34" s="496"/>
      <c r="F34" s="496">
        <f t="shared" si="2"/>
        <v>24681284.160000004</v>
      </c>
      <c r="G34" s="496">
        <v>56332540.75</v>
      </c>
      <c r="H34" s="496">
        <f t="shared" si="3"/>
        <v>81013824.91</v>
      </c>
      <c r="I34" s="420"/>
    </row>
    <row r="35" spans="1:9" ht="14.25">
      <c r="A35" s="653" t="s">
        <v>49</v>
      </c>
      <c r="B35" s="496">
        <v>0</v>
      </c>
      <c r="C35" s="496">
        <v>0</v>
      </c>
      <c r="D35" s="496">
        <v>0</v>
      </c>
      <c r="E35" s="496">
        <v>0</v>
      </c>
      <c r="F35" s="496">
        <f t="shared" si="2"/>
        <v>0</v>
      </c>
      <c r="G35" s="496">
        <v>25677518</v>
      </c>
      <c r="H35" s="496">
        <f t="shared" si="3"/>
        <v>25677518</v>
      </c>
      <c r="I35" s="420"/>
    </row>
    <row r="36" spans="1:10" ht="15">
      <c r="A36" s="650" t="s">
        <v>253</v>
      </c>
      <c r="B36" s="495">
        <f aca="true" t="shared" si="4" ref="B36:G36">SUM(B22:B35)</f>
        <v>86078126.33333333</v>
      </c>
      <c r="C36" s="495">
        <f t="shared" si="4"/>
        <v>33645786.093333334</v>
      </c>
      <c r="D36" s="495">
        <f t="shared" si="4"/>
        <v>269175942.86</v>
      </c>
      <c r="E36" s="495">
        <f t="shared" si="4"/>
        <v>33229771.083333332</v>
      </c>
      <c r="F36" s="495">
        <f t="shared" si="4"/>
        <v>422129626.37000006</v>
      </c>
      <c r="G36" s="495">
        <f t="shared" si="4"/>
        <v>327650033.718</v>
      </c>
      <c r="H36" s="493">
        <f>+SUM(H22:H35)</f>
        <v>749779660.088</v>
      </c>
      <c r="I36" s="420"/>
      <c r="J36" s="419"/>
    </row>
    <row r="37" spans="1:9" ht="15">
      <c r="A37" s="650" t="s">
        <v>254</v>
      </c>
      <c r="B37" s="495">
        <f aca="true" t="shared" si="5" ref="B37:H37">+B36+B20</f>
        <v>836343158.3333334</v>
      </c>
      <c r="C37" s="495">
        <f t="shared" si="5"/>
        <v>227380470.09333333</v>
      </c>
      <c r="D37" s="495">
        <f t="shared" si="5"/>
        <v>1127992891.8600001</v>
      </c>
      <c r="E37" s="495">
        <f t="shared" si="5"/>
        <v>204700566.08333334</v>
      </c>
      <c r="F37" s="495">
        <f t="shared" si="5"/>
        <v>2396417086.37</v>
      </c>
      <c r="G37" s="495">
        <f t="shared" si="5"/>
        <v>560172751.7179999</v>
      </c>
      <c r="H37" s="495">
        <f t="shared" si="5"/>
        <v>2956589838.0880003</v>
      </c>
      <c r="I37" s="420"/>
    </row>
    <row r="38" spans="1:9" ht="14.25">
      <c r="A38" s="653"/>
      <c r="B38" s="496"/>
      <c r="C38" s="496"/>
      <c r="D38" s="496"/>
      <c r="E38" s="496"/>
      <c r="F38" s="496"/>
      <c r="G38" s="496"/>
      <c r="H38" s="496"/>
      <c r="I38" s="655"/>
    </row>
    <row r="39" spans="1:10" ht="15">
      <c r="A39" s="650" t="s">
        <v>17</v>
      </c>
      <c r="B39" s="495">
        <f>+B41</f>
        <v>1992287432.8600006</v>
      </c>
      <c r="C39" s="495">
        <f>+C111</f>
        <v>720045642</v>
      </c>
      <c r="D39" s="495">
        <f>+D138</f>
        <v>4778849437.3</v>
      </c>
      <c r="E39" s="495">
        <f>+E70</f>
        <v>3095355608</v>
      </c>
      <c r="F39" s="495">
        <f>+F41+F70+F111+F138</f>
        <v>10586538120.16</v>
      </c>
      <c r="G39" s="495">
        <f>+G41+G70+G111+G138</f>
        <v>0</v>
      </c>
      <c r="H39" s="495">
        <f>+H41+H70+H111+H138</f>
        <v>10586538120.16</v>
      </c>
      <c r="I39" s="656"/>
      <c r="J39" s="657"/>
    </row>
    <row r="40" spans="1:11" ht="14.25">
      <c r="A40" s="653"/>
      <c r="B40" s="496"/>
      <c r="C40" s="496"/>
      <c r="D40" s="496"/>
      <c r="E40" s="496"/>
      <c r="F40" s="496"/>
      <c r="G40" s="496"/>
      <c r="H40" s="496"/>
      <c r="I40" s="420"/>
      <c r="K40" s="419"/>
    </row>
    <row r="41" spans="1:9" ht="15">
      <c r="A41" s="652" t="s">
        <v>9</v>
      </c>
      <c r="B41" s="495">
        <f>+B42+B53+B58+B63</f>
        <v>1992287432.8600006</v>
      </c>
      <c r="C41" s="495"/>
      <c r="D41" s="495"/>
      <c r="E41" s="495"/>
      <c r="F41" s="495">
        <f>+E41+D41+C41+B41</f>
        <v>1992287432.8600006</v>
      </c>
      <c r="G41" s="495"/>
      <c r="H41" s="495">
        <f>+G41+F41</f>
        <v>1992287432.8600006</v>
      </c>
      <c r="I41" s="420"/>
    </row>
    <row r="42" spans="1:9" s="659" customFormat="1" ht="15">
      <c r="A42" s="658" t="s">
        <v>272</v>
      </c>
      <c r="B42" s="495">
        <f>+B43+SUM(B49:B52)+B46</f>
        <v>1264419037.0000005</v>
      </c>
      <c r="C42" s="495"/>
      <c r="D42" s="495"/>
      <c r="E42" s="495"/>
      <c r="F42" s="495">
        <f>+F43+SUM(F49:F52)</f>
        <v>1264419037.0000005</v>
      </c>
      <c r="G42" s="495"/>
      <c r="H42" s="495">
        <f>+H43+SUM(H49:H52)</f>
        <v>1264419037.0000005</v>
      </c>
      <c r="I42" s="422"/>
    </row>
    <row r="43" spans="1:9" s="659" customFormat="1" ht="15" hidden="1" outlineLevel="1">
      <c r="A43" s="660" t="s">
        <v>465</v>
      </c>
      <c r="B43" s="494">
        <f>+SUM(B44:B45)</f>
        <v>1016755449.0000005</v>
      </c>
      <c r="C43" s="495"/>
      <c r="D43" s="495"/>
      <c r="E43" s="495"/>
      <c r="F43" s="494">
        <f>+SUM(F44:F45)</f>
        <v>1016755449.0000005</v>
      </c>
      <c r="G43" s="495"/>
      <c r="H43" s="494">
        <f>+SUM(H44:H45)</f>
        <v>1016755449.0000005</v>
      </c>
      <c r="I43" s="422"/>
    </row>
    <row r="44" spans="1:9" s="659" customFormat="1" ht="15" hidden="1" outlineLevel="2">
      <c r="A44" s="660" t="s">
        <v>306</v>
      </c>
      <c r="B44" s="494">
        <v>654679167.8000002</v>
      </c>
      <c r="C44" s="495"/>
      <c r="D44" s="495"/>
      <c r="E44" s="495"/>
      <c r="F44" s="494">
        <f>+B44+C44+D44+E44</f>
        <v>654679167.8000002</v>
      </c>
      <c r="G44" s="495"/>
      <c r="H44" s="496">
        <f aca="true" t="shared" si="6" ref="H44:H68">+G44+F44</f>
        <v>654679167.8000002</v>
      </c>
      <c r="I44" s="422"/>
    </row>
    <row r="45" spans="1:9" s="659" customFormat="1" ht="15" hidden="1" outlineLevel="2">
      <c r="A45" s="660" t="s">
        <v>466</v>
      </c>
      <c r="B45" s="494">
        <v>362076281.2000002</v>
      </c>
      <c r="C45" s="495"/>
      <c r="D45" s="495"/>
      <c r="E45" s="495"/>
      <c r="F45" s="494">
        <f>+B45+C45+D45+E45</f>
        <v>362076281.2000002</v>
      </c>
      <c r="G45" s="495"/>
      <c r="H45" s="496">
        <f t="shared" si="6"/>
        <v>362076281.2000002</v>
      </c>
      <c r="I45" s="422"/>
    </row>
    <row r="46" spans="1:9" s="659" customFormat="1" ht="15" hidden="1" outlineLevel="2">
      <c r="A46" s="660" t="s">
        <v>467</v>
      </c>
      <c r="B46" s="494">
        <v>0</v>
      </c>
      <c r="C46" s="495"/>
      <c r="D46" s="495"/>
      <c r="E46" s="495"/>
      <c r="F46" s="494">
        <f>+SUM(F47:F48)</f>
        <v>0</v>
      </c>
      <c r="G46" s="495"/>
      <c r="H46" s="496">
        <f t="shared" si="6"/>
        <v>0</v>
      </c>
      <c r="I46" s="422"/>
    </row>
    <row r="47" spans="1:9" s="659" customFormat="1" ht="15" hidden="1" outlineLevel="2">
      <c r="A47" s="660" t="s">
        <v>306</v>
      </c>
      <c r="B47" s="494"/>
      <c r="C47" s="495"/>
      <c r="D47" s="495"/>
      <c r="E47" s="495"/>
      <c r="F47" s="494">
        <f aca="true" t="shared" si="7" ref="F47:F52">+B47+C47+D47+E47</f>
        <v>0</v>
      </c>
      <c r="G47" s="495"/>
      <c r="H47" s="496">
        <f t="shared" si="6"/>
        <v>0</v>
      </c>
      <c r="I47" s="422"/>
    </row>
    <row r="48" spans="1:9" s="659" customFormat="1" ht="15" hidden="1" outlineLevel="2">
      <c r="A48" s="660" t="s">
        <v>466</v>
      </c>
      <c r="B48" s="494"/>
      <c r="C48" s="495"/>
      <c r="D48" s="495"/>
      <c r="E48" s="495"/>
      <c r="F48" s="494">
        <f t="shared" si="7"/>
        <v>0</v>
      </c>
      <c r="G48" s="495"/>
      <c r="H48" s="496">
        <f t="shared" si="6"/>
        <v>0</v>
      </c>
      <c r="I48" s="422"/>
    </row>
    <row r="49" spans="1:9" s="659" customFormat="1" ht="15" hidden="1" outlineLevel="1" collapsed="1">
      <c r="A49" s="662" t="s">
        <v>279</v>
      </c>
      <c r="B49" s="496">
        <v>129160750</v>
      </c>
      <c r="C49" s="495"/>
      <c r="D49" s="495"/>
      <c r="E49" s="495"/>
      <c r="F49" s="494">
        <f t="shared" si="7"/>
        <v>129160750</v>
      </c>
      <c r="G49" s="495"/>
      <c r="H49" s="496">
        <f t="shared" si="6"/>
        <v>129160750</v>
      </c>
      <c r="I49" s="422"/>
    </row>
    <row r="50" spans="1:9" s="659" customFormat="1" ht="15" hidden="1" outlineLevel="1">
      <c r="A50" s="662" t="s">
        <v>280</v>
      </c>
      <c r="B50" s="496">
        <v>69261989</v>
      </c>
      <c r="C50" s="495"/>
      <c r="D50" s="495"/>
      <c r="E50" s="495"/>
      <c r="F50" s="494">
        <f t="shared" si="7"/>
        <v>69261989</v>
      </c>
      <c r="G50" s="495"/>
      <c r="H50" s="496">
        <f t="shared" si="6"/>
        <v>69261989</v>
      </c>
      <c r="I50" s="422"/>
    </row>
    <row r="51" spans="1:9" s="659" customFormat="1" ht="15" hidden="1" outlineLevel="1">
      <c r="A51" s="662" t="s">
        <v>281</v>
      </c>
      <c r="B51" s="494">
        <v>45553009</v>
      </c>
      <c r="C51" s="495"/>
      <c r="D51" s="495"/>
      <c r="E51" s="495"/>
      <c r="F51" s="494">
        <f t="shared" si="7"/>
        <v>45553009</v>
      </c>
      <c r="G51" s="495"/>
      <c r="H51" s="496">
        <f t="shared" si="6"/>
        <v>45553009</v>
      </c>
      <c r="I51" s="422"/>
    </row>
    <row r="52" spans="1:9" s="659" customFormat="1" ht="15" hidden="1" outlineLevel="1">
      <c r="A52" s="662" t="s">
        <v>468</v>
      </c>
      <c r="B52" s="494">
        <v>3687840</v>
      </c>
      <c r="C52" s="495"/>
      <c r="D52" s="495"/>
      <c r="E52" s="495"/>
      <c r="F52" s="494">
        <f t="shared" si="7"/>
        <v>3687840</v>
      </c>
      <c r="G52" s="495"/>
      <c r="H52" s="496">
        <f t="shared" si="6"/>
        <v>3687840</v>
      </c>
      <c r="I52" s="422"/>
    </row>
    <row r="53" spans="1:9" s="659" customFormat="1" ht="15" collapsed="1">
      <c r="A53" s="658" t="s">
        <v>10</v>
      </c>
      <c r="B53" s="495">
        <f aca="true" t="shared" si="8" ref="B53:H53">+SUM(B54:B57)</f>
        <v>140130359.86</v>
      </c>
      <c r="C53" s="495">
        <f t="shared" si="8"/>
        <v>0</v>
      </c>
      <c r="D53" s="495">
        <f t="shared" si="8"/>
        <v>0</v>
      </c>
      <c r="E53" s="495">
        <f t="shared" si="8"/>
        <v>0</v>
      </c>
      <c r="F53" s="495">
        <f t="shared" si="8"/>
        <v>140130359.86</v>
      </c>
      <c r="G53" s="495">
        <f t="shared" si="8"/>
        <v>0</v>
      </c>
      <c r="H53" s="495">
        <f t="shared" si="8"/>
        <v>140130359.86</v>
      </c>
      <c r="I53" s="422"/>
    </row>
    <row r="54" spans="1:9" s="659" customFormat="1" ht="15" hidden="1" outlineLevel="2">
      <c r="A54" s="662" t="s">
        <v>273</v>
      </c>
      <c r="B54" s="496">
        <v>33989152</v>
      </c>
      <c r="C54" s="495"/>
      <c r="D54" s="495"/>
      <c r="E54" s="495"/>
      <c r="F54" s="496">
        <f>+B54+C54+D54+E54</f>
        <v>33989152</v>
      </c>
      <c r="G54" s="495"/>
      <c r="H54" s="496">
        <f t="shared" si="6"/>
        <v>33989152</v>
      </c>
      <c r="I54" s="422"/>
    </row>
    <row r="55" spans="1:9" s="659" customFormat="1" ht="15" hidden="1" outlineLevel="2">
      <c r="A55" s="662" t="s">
        <v>274</v>
      </c>
      <c r="B55" s="496">
        <v>12738225.86</v>
      </c>
      <c r="C55" s="495"/>
      <c r="D55" s="495"/>
      <c r="E55" s="495"/>
      <c r="F55" s="496">
        <f>+B55+C55+D55+E55</f>
        <v>12738225.86</v>
      </c>
      <c r="G55" s="495"/>
      <c r="H55" s="496">
        <f t="shared" si="6"/>
        <v>12738225.86</v>
      </c>
      <c r="I55" s="422"/>
    </row>
    <row r="56" spans="1:9" s="659" customFormat="1" ht="15" hidden="1" outlineLevel="2">
      <c r="A56" s="662" t="s">
        <v>385</v>
      </c>
      <c r="B56" s="496">
        <v>52919649</v>
      </c>
      <c r="C56" s="495"/>
      <c r="D56" s="495"/>
      <c r="E56" s="495"/>
      <c r="F56" s="496">
        <f>+B56+C56+D56+E56</f>
        <v>52919649</v>
      </c>
      <c r="G56" s="495"/>
      <c r="H56" s="496">
        <f t="shared" si="6"/>
        <v>52919649</v>
      </c>
      <c r="I56" s="422"/>
    </row>
    <row r="57" spans="1:9" s="659" customFormat="1" ht="15" hidden="1" outlineLevel="2">
      <c r="A57" s="662" t="s">
        <v>386</v>
      </c>
      <c r="B57" s="496">
        <v>40483333</v>
      </c>
      <c r="C57" s="495"/>
      <c r="D57" s="495"/>
      <c r="E57" s="495"/>
      <c r="F57" s="496">
        <f>+B57+C57+D57+E57</f>
        <v>40483333</v>
      </c>
      <c r="G57" s="495"/>
      <c r="H57" s="496">
        <f t="shared" si="6"/>
        <v>40483333</v>
      </c>
      <c r="I57" s="422"/>
    </row>
    <row r="58" spans="1:9" s="659" customFormat="1" ht="15" collapsed="1">
      <c r="A58" s="658" t="s">
        <v>154</v>
      </c>
      <c r="B58" s="495">
        <f>+SUM(B59:B62)</f>
        <v>268004387</v>
      </c>
      <c r="C58" s="496"/>
      <c r="D58" s="496"/>
      <c r="E58" s="495"/>
      <c r="F58" s="495">
        <f>+SUM(F59:F62)</f>
        <v>268004387</v>
      </c>
      <c r="G58" s="493"/>
      <c r="H58" s="495">
        <f>+SUM(H59:H62)</f>
        <v>268004387</v>
      </c>
      <c r="I58" s="422"/>
    </row>
    <row r="59" spans="1:9" s="659" customFormat="1" ht="14.25" hidden="1" outlineLevel="1">
      <c r="A59" s="663" t="s">
        <v>266</v>
      </c>
      <c r="B59" s="496">
        <v>88210820</v>
      </c>
      <c r="C59" s="496"/>
      <c r="D59" s="496"/>
      <c r="E59" s="496"/>
      <c r="F59" s="496">
        <f>+B59+C59+D59+E59</f>
        <v>88210820</v>
      </c>
      <c r="G59" s="496"/>
      <c r="H59" s="496">
        <f t="shared" si="6"/>
        <v>88210820</v>
      </c>
      <c r="I59" s="422"/>
    </row>
    <row r="60" spans="1:9" s="659" customFormat="1" ht="14.25" hidden="1" outlineLevel="1">
      <c r="A60" s="663" t="s">
        <v>282</v>
      </c>
      <c r="B60" s="496">
        <v>29624592</v>
      </c>
      <c r="C60" s="496"/>
      <c r="D60" s="496"/>
      <c r="E60" s="496"/>
      <c r="F60" s="496">
        <f>+B60+C60+D60+E60</f>
        <v>29624592</v>
      </c>
      <c r="G60" s="496"/>
      <c r="H60" s="496">
        <f t="shared" si="6"/>
        <v>29624592</v>
      </c>
      <c r="I60" s="422"/>
    </row>
    <row r="61" spans="1:9" s="659" customFormat="1" ht="14.25" hidden="1" outlineLevel="1">
      <c r="A61" s="663" t="s">
        <v>387</v>
      </c>
      <c r="B61" s="496">
        <v>50169415</v>
      </c>
      <c r="C61" s="496"/>
      <c r="D61" s="496"/>
      <c r="E61" s="496"/>
      <c r="F61" s="496">
        <f>+B61+C61+D61+E61</f>
        <v>50169415</v>
      </c>
      <c r="G61" s="496"/>
      <c r="H61" s="496">
        <f t="shared" si="6"/>
        <v>50169415</v>
      </c>
      <c r="I61" s="422"/>
    </row>
    <row r="62" spans="1:9" s="659" customFormat="1" ht="14.25" hidden="1" outlineLevel="1">
      <c r="A62" s="663" t="s">
        <v>388</v>
      </c>
      <c r="B62" s="496">
        <v>99999560</v>
      </c>
      <c r="C62" s="496"/>
      <c r="D62" s="496"/>
      <c r="E62" s="496"/>
      <c r="F62" s="496">
        <f>+B62+C62+D62+E62</f>
        <v>99999560</v>
      </c>
      <c r="G62" s="496"/>
      <c r="H62" s="496">
        <f t="shared" si="6"/>
        <v>99999560</v>
      </c>
      <c r="I62" s="422"/>
    </row>
    <row r="63" spans="1:9" s="659" customFormat="1" ht="15" collapsed="1">
      <c r="A63" s="658" t="s">
        <v>157</v>
      </c>
      <c r="B63" s="493">
        <f>+SUM(B64:B68)</f>
        <v>319733649</v>
      </c>
      <c r="C63" s="493"/>
      <c r="D63" s="493"/>
      <c r="E63" s="493"/>
      <c r="F63" s="493">
        <f>+SUM(F64:F68)</f>
        <v>319733649</v>
      </c>
      <c r="G63" s="493"/>
      <c r="H63" s="493">
        <f>+SUM(H64:H68)</f>
        <v>319733649</v>
      </c>
      <c r="I63" s="664"/>
    </row>
    <row r="64" spans="1:9" s="659" customFormat="1" ht="15" hidden="1" outlineLevel="1">
      <c r="A64" s="663" t="s">
        <v>283</v>
      </c>
      <c r="B64" s="494">
        <v>75387406</v>
      </c>
      <c r="C64" s="493"/>
      <c r="D64" s="493"/>
      <c r="E64" s="493"/>
      <c r="F64" s="496">
        <f>+B64+C64+D64+E64</f>
        <v>75387406</v>
      </c>
      <c r="G64" s="494"/>
      <c r="H64" s="496">
        <f t="shared" si="6"/>
        <v>75387406</v>
      </c>
      <c r="I64" s="422"/>
    </row>
    <row r="65" spans="1:9" s="659" customFormat="1" ht="15" hidden="1" outlineLevel="1">
      <c r="A65" s="663" t="s">
        <v>389</v>
      </c>
      <c r="B65" s="494">
        <v>18603380</v>
      </c>
      <c r="C65" s="493"/>
      <c r="D65" s="493"/>
      <c r="E65" s="493"/>
      <c r="F65" s="496">
        <f>+B65+C65+D65+E65</f>
        <v>18603380</v>
      </c>
      <c r="G65" s="494"/>
      <c r="H65" s="496">
        <f t="shared" si="6"/>
        <v>18603380</v>
      </c>
      <c r="I65" s="422"/>
    </row>
    <row r="66" spans="1:9" s="659" customFormat="1" ht="15" hidden="1" outlineLevel="1">
      <c r="A66" s="665" t="s">
        <v>390</v>
      </c>
      <c r="B66" s="494">
        <v>49947075</v>
      </c>
      <c r="C66" s="493"/>
      <c r="D66" s="493"/>
      <c r="E66" s="493"/>
      <c r="F66" s="496">
        <f>+B66+C66+D66+E66</f>
        <v>49947075</v>
      </c>
      <c r="G66" s="494"/>
      <c r="H66" s="496">
        <f t="shared" si="6"/>
        <v>49947075</v>
      </c>
      <c r="I66" s="422"/>
    </row>
    <row r="67" spans="1:9" s="659" customFormat="1" ht="15" hidden="1" outlineLevel="1">
      <c r="A67" s="666" t="s">
        <v>391</v>
      </c>
      <c r="B67" s="494">
        <v>168589014</v>
      </c>
      <c r="C67" s="493"/>
      <c r="D67" s="493"/>
      <c r="E67" s="493"/>
      <c r="F67" s="496">
        <f>+B67+C67+D67+E67</f>
        <v>168589014</v>
      </c>
      <c r="G67" s="494"/>
      <c r="H67" s="496">
        <f t="shared" si="6"/>
        <v>168589014</v>
      </c>
      <c r="I67" s="422"/>
    </row>
    <row r="68" spans="1:9" s="659" customFormat="1" ht="15" hidden="1" outlineLevel="1">
      <c r="A68" s="663" t="s">
        <v>469</v>
      </c>
      <c r="B68" s="496">
        <v>7206774</v>
      </c>
      <c r="C68" s="495"/>
      <c r="D68" s="495"/>
      <c r="E68" s="495"/>
      <c r="F68" s="496">
        <f>+B68+C68+D68+E68</f>
        <v>7206774</v>
      </c>
      <c r="G68" s="495"/>
      <c r="H68" s="496">
        <f t="shared" si="6"/>
        <v>7206774</v>
      </c>
      <c r="I68" s="422"/>
    </row>
    <row r="69" spans="1:9" s="659" customFormat="1" ht="15" collapsed="1">
      <c r="A69" s="663"/>
      <c r="B69" s="496"/>
      <c r="C69" s="495"/>
      <c r="D69" s="495"/>
      <c r="E69" s="495"/>
      <c r="F69" s="496"/>
      <c r="G69" s="495"/>
      <c r="H69" s="496"/>
      <c r="I69" s="422"/>
    </row>
    <row r="70" spans="1:9" ht="15">
      <c r="A70" s="652" t="s">
        <v>11</v>
      </c>
      <c r="B70" s="495"/>
      <c r="C70" s="496"/>
      <c r="D70" s="496"/>
      <c r="E70" s="493">
        <f>+E71+E77+E85+E92+E100+E104+E108</f>
        <v>3095355608</v>
      </c>
      <c r="F70" s="493">
        <f>+F71+F77+F85+F92+F100+F104+F108</f>
        <v>3095355608</v>
      </c>
      <c r="G70" s="496"/>
      <c r="H70" s="493">
        <f>+H71+H77+H85+H92+H100+H104+H108</f>
        <v>3095355608</v>
      </c>
      <c r="I70" s="420"/>
    </row>
    <row r="71" spans="1:9" ht="15">
      <c r="A71" s="658" t="s">
        <v>275</v>
      </c>
      <c r="B71" s="495"/>
      <c r="C71" s="496"/>
      <c r="D71" s="496"/>
      <c r="E71" s="493">
        <f>SUM(E72:E76)</f>
        <v>265277863</v>
      </c>
      <c r="F71" s="493">
        <f>SUM(F72:F76)</f>
        <v>265277863</v>
      </c>
      <c r="G71" s="496"/>
      <c r="H71" s="493">
        <f>SUM(H72:H76)</f>
        <v>265277863</v>
      </c>
      <c r="I71" s="420"/>
    </row>
    <row r="72" spans="1:9" ht="15" hidden="1" outlineLevel="1">
      <c r="A72" s="667" t="s">
        <v>276</v>
      </c>
      <c r="B72" s="495"/>
      <c r="C72" s="496"/>
      <c r="D72" s="496"/>
      <c r="E72" s="494">
        <v>33501960</v>
      </c>
      <c r="F72" s="496">
        <f>SUM(B72:E72)</f>
        <v>33501960</v>
      </c>
      <c r="G72" s="496"/>
      <c r="H72" s="496">
        <f>+G72+F72</f>
        <v>33501960</v>
      </c>
      <c r="I72" s="420"/>
    </row>
    <row r="73" spans="1:9" ht="15" hidden="1" outlineLevel="1">
      <c r="A73" s="667" t="s">
        <v>277</v>
      </c>
      <c r="B73" s="495"/>
      <c r="C73" s="496"/>
      <c r="D73" s="496"/>
      <c r="E73" s="494">
        <v>81855000</v>
      </c>
      <c r="F73" s="496">
        <f>SUM(B73:E73)</f>
        <v>81855000</v>
      </c>
      <c r="G73" s="496"/>
      <c r="H73" s="496">
        <f>+G73+F73</f>
        <v>81855000</v>
      </c>
      <c r="I73" s="420"/>
    </row>
    <row r="74" spans="1:9" ht="15" hidden="1" outlineLevel="1">
      <c r="A74" s="667" t="s">
        <v>392</v>
      </c>
      <c r="B74" s="495"/>
      <c r="C74" s="496"/>
      <c r="D74" s="496"/>
      <c r="E74" s="496">
        <v>8700000</v>
      </c>
      <c r="F74" s="496">
        <f>SUM(B74:E74)</f>
        <v>8700000</v>
      </c>
      <c r="G74" s="496"/>
      <c r="H74" s="496">
        <f>+G74+F74</f>
        <v>8700000</v>
      </c>
      <c r="I74" s="420"/>
    </row>
    <row r="75" spans="1:9" ht="15" hidden="1" outlineLevel="1">
      <c r="A75" s="667" t="s">
        <v>393</v>
      </c>
      <c r="B75" s="495"/>
      <c r="C75" s="496"/>
      <c r="D75" s="496"/>
      <c r="E75" s="496">
        <v>130780903</v>
      </c>
      <c r="F75" s="496">
        <f>SUM(B75:E75)</f>
        <v>130780903</v>
      </c>
      <c r="G75" s="496"/>
      <c r="H75" s="496">
        <f>+G75+F75</f>
        <v>130780903</v>
      </c>
      <c r="I75" s="420"/>
    </row>
    <row r="76" spans="1:9" ht="15" hidden="1" outlineLevel="1">
      <c r="A76" s="667" t="s">
        <v>394</v>
      </c>
      <c r="B76" s="495"/>
      <c r="C76" s="496"/>
      <c r="D76" s="496"/>
      <c r="E76" s="496">
        <v>10440000</v>
      </c>
      <c r="F76" s="496">
        <f>SUM(B76:E76)</f>
        <v>10440000</v>
      </c>
      <c r="G76" s="496"/>
      <c r="H76" s="496">
        <f>+G76+F76</f>
        <v>10440000</v>
      </c>
      <c r="I76" s="420"/>
    </row>
    <row r="77" spans="1:9" ht="17.25" customHeight="1" collapsed="1">
      <c r="A77" s="668" t="s">
        <v>395</v>
      </c>
      <c r="B77" s="495"/>
      <c r="C77" s="496"/>
      <c r="D77" s="496"/>
      <c r="E77" s="493">
        <f>SUM(E78:E84)</f>
        <v>175302996</v>
      </c>
      <c r="F77" s="495">
        <f>SUM(F78:F84)</f>
        <v>175302996</v>
      </c>
      <c r="G77" s="496"/>
      <c r="H77" s="495">
        <f>SUM(H78:H84)</f>
        <v>175302996</v>
      </c>
      <c r="I77" s="420"/>
    </row>
    <row r="78" spans="1:9" ht="15" hidden="1" outlineLevel="1">
      <c r="A78" s="667" t="s">
        <v>396</v>
      </c>
      <c r="B78" s="495"/>
      <c r="C78" s="496"/>
      <c r="D78" s="496"/>
      <c r="E78" s="496">
        <v>117165770</v>
      </c>
      <c r="F78" s="496">
        <f aca="true" t="shared" si="9" ref="F78:F84">SUM(B78:E78)</f>
        <v>117165770</v>
      </c>
      <c r="G78" s="496"/>
      <c r="H78" s="496">
        <f aca="true" t="shared" si="10" ref="H78:H84">+G78+F78</f>
        <v>117165770</v>
      </c>
      <c r="I78" s="420"/>
    </row>
    <row r="79" spans="1:9" ht="15" hidden="1" outlineLevel="1">
      <c r="A79" s="667" t="s">
        <v>397</v>
      </c>
      <c r="B79" s="495"/>
      <c r="C79" s="496"/>
      <c r="D79" s="496"/>
      <c r="E79" s="496">
        <v>11304541</v>
      </c>
      <c r="F79" s="496">
        <f t="shared" si="9"/>
        <v>11304541</v>
      </c>
      <c r="G79" s="496"/>
      <c r="H79" s="496">
        <f t="shared" si="10"/>
        <v>11304541</v>
      </c>
      <c r="I79" s="420"/>
    </row>
    <row r="80" spans="1:9" ht="15" hidden="1" outlineLevel="1">
      <c r="A80" s="667" t="s">
        <v>305</v>
      </c>
      <c r="B80" s="495"/>
      <c r="C80" s="496"/>
      <c r="D80" s="496"/>
      <c r="E80" s="496">
        <v>19989115</v>
      </c>
      <c r="F80" s="496">
        <f t="shared" si="9"/>
        <v>19989115</v>
      </c>
      <c r="G80" s="496"/>
      <c r="H80" s="496">
        <f t="shared" si="10"/>
        <v>19989115</v>
      </c>
      <c r="I80" s="420"/>
    </row>
    <row r="81" spans="1:9" ht="15" hidden="1" outlineLevel="1">
      <c r="A81" s="667" t="s">
        <v>398</v>
      </c>
      <c r="B81" s="495"/>
      <c r="C81" s="496"/>
      <c r="D81" s="496"/>
      <c r="E81" s="496">
        <v>999978</v>
      </c>
      <c r="F81" s="496">
        <f t="shared" si="9"/>
        <v>999978</v>
      </c>
      <c r="G81" s="496"/>
      <c r="H81" s="496">
        <f t="shared" si="10"/>
        <v>999978</v>
      </c>
      <c r="I81" s="420"/>
    </row>
    <row r="82" spans="1:9" ht="15" hidden="1" outlineLevel="1">
      <c r="A82" s="667" t="s">
        <v>399</v>
      </c>
      <c r="B82" s="495"/>
      <c r="C82" s="496"/>
      <c r="D82" s="496"/>
      <c r="E82" s="496">
        <v>16887632</v>
      </c>
      <c r="F82" s="496">
        <f t="shared" si="9"/>
        <v>16887632</v>
      </c>
      <c r="G82" s="496"/>
      <c r="H82" s="496">
        <f t="shared" si="10"/>
        <v>16887632</v>
      </c>
      <c r="I82" s="420"/>
    </row>
    <row r="83" spans="1:9" ht="15" hidden="1" outlineLevel="1">
      <c r="A83" s="667" t="s">
        <v>400</v>
      </c>
      <c r="B83" s="495"/>
      <c r="C83" s="496"/>
      <c r="D83" s="496"/>
      <c r="E83" s="496">
        <v>0</v>
      </c>
      <c r="F83" s="496">
        <f t="shared" si="9"/>
        <v>0</v>
      </c>
      <c r="G83" s="496"/>
      <c r="H83" s="496">
        <f t="shared" si="10"/>
        <v>0</v>
      </c>
      <c r="I83" s="420"/>
    </row>
    <row r="84" spans="1:9" ht="15" hidden="1" outlineLevel="1">
      <c r="A84" s="667" t="s">
        <v>401</v>
      </c>
      <c r="B84" s="495"/>
      <c r="C84" s="496"/>
      <c r="D84" s="496"/>
      <c r="E84" s="496">
        <v>8955960</v>
      </c>
      <c r="F84" s="496">
        <f t="shared" si="9"/>
        <v>8955960</v>
      </c>
      <c r="G84" s="496"/>
      <c r="H84" s="496">
        <f t="shared" si="10"/>
        <v>8955960</v>
      </c>
      <c r="I84" s="420"/>
    </row>
    <row r="85" spans="1:9" ht="15" collapsed="1">
      <c r="A85" s="668" t="s">
        <v>402</v>
      </c>
      <c r="B85" s="495"/>
      <c r="C85" s="496"/>
      <c r="D85" s="496"/>
      <c r="E85" s="493">
        <f>SUM(E86:E91)</f>
        <v>399585671</v>
      </c>
      <c r="F85" s="495">
        <f>SUM(F86:F91)</f>
        <v>399585671</v>
      </c>
      <c r="G85" s="496"/>
      <c r="H85" s="495">
        <f>SUM(H86:H91)</f>
        <v>399585671</v>
      </c>
      <c r="I85" s="420"/>
    </row>
    <row r="86" spans="1:9" ht="15" hidden="1" outlineLevel="1">
      <c r="A86" s="667" t="s">
        <v>403</v>
      </c>
      <c r="B86" s="495"/>
      <c r="C86" s="496"/>
      <c r="D86" s="496"/>
      <c r="E86" s="494">
        <v>163182658</v>
      </c>
      <c r="F86" s="496">
        <f aca="true" t="shared" si="11" ref="F86:F91">SUM(B86:E86)</f>
        <v>163182658</v>
      </c>
      <c r="G86" s="496"/>
      <c r="H86" s="496">
        <f aca="true" t="shared" si="12" ref="H86:H91">+G86+F86</f>
        <v>163182658</v>
      </c>
      <c r="I86" s="420"/>
    </row>
    <row r="87" spans="1:9" ht="15" hidden="1" outlineLevel="1">
      <c r="A87" s="667" t="s">
        <v>404</v>
      </c>
      <c r="B87" s="495"/>
      <c r="C87" s="496"/>
      <c r="D87" s="496"/>
      <c r="E87" s="494">
        <v>95185854</v>
      </c>
      <c r="F87" s="496">
        <f t="shared" si="11"/>
        <v>95185854</v>
      </c>
      <c r="G87" s="496"/>
      <c r="H87" s="496">
        <f t="shared" si="12"/>
        <v>95185854</v>
      </c>
      <c r="I87" s="420"/>
    </row>
    <row r="88" spans="1:9" ht="15" hidden="1" outlineLevel="1">
      <c r="A88" s="667" t="s">
        <v>405</v>
      </c>
      <c r="B88" s="495"/>
      <c r="C88" s="496"/>
      <c r="D88" s="496"/>
      <c r="E88" s="494">
        <v>110398799</v>
      </c>
      <c r="F88" s="496">
        <f t="shared" si="11"/>
        <v>110398799</v>
      </c>
      <c r="G88" s="496"/>
      <c r="H88" s="496">
        <f t="shared" si="12"/>
        <v>110398799</v>
      </c>
      <c r="I88" s="420"/>
    </row>
    <row r="89" spans="1:9" ht="15" hidden="1" outlineLevel="1">
      <c r="A89" s="667" t="s">
        <v>401</v>
      </c>
      <c r="B89" s="495"/>
      <c r="C89" s="496"/>
      <c r="D89" s="496"/>
      <c r="E89" s="494">
        <v>17542796</v>
      </c>
      <c r="F89" s="496">
        <f t="shared" si="11"/>
        <v>17542796</v>
      </c>
      <c r="G89" s="496"/>
      <c r="H89" s="496">
        <f t="shared" si="12"/>
        <v>17542796</v>
      </c>
      <c r="I89" s="420"/>
    </row>
    <row r="90" spans="1:9" ht="15" hidden="1" outlineLevel="1">
      <c r="A90" s="667" t="s">
        <v>406</v>
      </c>
      <c r="B90" s="495"/>
      <c r="C90" s="496"/>
      <c r="D90" s="496"/>
      <c r="E90" s="494">
        <v>8975196</v>
      </c>
      <c r="F90" s="496">
        <f t="shared" si="11"/>
        <v>8975196</v>
      </c>
      <c r="G90" s="496"/>
      <c r="H90" s="496">
        <f t="shared" si="12"/>
        <v>8975196</v>
      </c>
      <c r="I90" s="420"/>
    </row>
    <row r="91" spans="1:9" ht="15" hidden="1" outlineLevel="1">
      <c r="A91" s="667" t="s">
        <v>305</v>
      </c>
      <c r="B91" s="495"/>
      <c r="C91" s="496"/>
      <c r="D91" s="496"/>
      <c r="E91" s="494">
        <v>4300368</v>
      </c>
      <c r="F91" s="496">
        <f t="shared" si="11"/>
        <v>4300368</v>
      </c>
      <c r="G91" s="496"/>
      <c r="H91" s="496">
        <f t="shared" si="12"/>
        <v>4300368</v>
      </c>
      <c r="I91" s="420"/>
    </row>
    <row r="92" spans="1:9" ht="15" collapsed="1">
      <c r="A92" s="668" t="s">
        <v>297</v>
      </c>
      <c r="B92" s="495"/>
      <c r="C92" s="496"/>
      <c r="D92" s="496"/>
      <c r="E92" s="493">
        <f>SUM(E93:E99)</f>
        <v>1865903201</v>
      </c>
      <c r="F92" s="493">
        <f>SUM(F93:F99)</f>
        <v>1865903201</v>
      </c>
      <c r="G92" s="496"/>
      <c r="H92" s="493">
        <f>SUM(H93:H99)</f>
        <v>1865903201</v>
      </c>
      <c r="I92" s="420"/>
    </row>
    <row r="93" spans="1:9" ht="15" hidden="1" outlineLevel="1">
      <c r="A93" s="669" t="s">
        <v>407</v>
      </c>
      <c r="B93" s="495"/>
      <c r="C93" s="496"/>
      <c r="D93" s="496"/>
      <c r="E93" s="494">
        <v>105061032</v>
      </c>
      <c r="F93" s="496">
        <f aca="true" t="shared" si="13" ref="F93:F99">SUM(B93:E93)</f>
        <v>105061032</v>
      </c>
      <c r="G93" s="496"/>
      <c r="H93" s="496">
        <f aca="true" t="shared" si="14" ref="H93:H99">+G93+F93</f>
        <v>105061032</v>
      </c>
      <c r="I93" s="420"/>
    </row>
    <row r="94" spans="1:9" ht="15" hidden="1" outlineLevel="1">
      <c r="A94" s="669" t="s">
        <v>408</v>
      </c>
      <c r="B94" s="495"/>
      <c r="C94" s="496"/>
      <c r="D94" s="496"/>
      <c r="E94" s="494">
        <v>1469486599</v>
      </c>
      <c r="F94" s="496">
        <f t="shared" si="13"/>
        <v>1469486599</v>
      </c>
      <c r="G94" s="496"/>
      <c r="H94" s="496">
        <f t="shared" si="14"/>
        <v>1469486599</v>
      </c>
      <c r="I94" s="420"/>
    </row>
    <row r="95" spans="1:9" ht="15" hidden="1" outlineLevel="1">
      <c r="A95" s="667" t="s">
        <v>409</v>
      </c>
      <c r="B95" s="495"/>
      <c r="C95" s="496"/>
      <c r="D95" s="496"/>
      <c r="E95" s="494">
        <v>120000000</v>
      </c>
      <c r="F95" s="496">
        <f t="shared" si="13"/>
        <v>120000000</v>
      </c>
      <c r="G95" s="496"/>
      <c r="H95" s="496">
        <f t="shared" si="14"/>
        <v>120000000</v>
      </c>
      <c r="I95" s="420"/>
    </row>
    <row r="96" spans="1:9" ht="15" hidden="1" outlineLevel="1">
      <c r="A96" s="669" t="s">
        <v>410</v>
      </c>
      <c r="B96" s="495"/>
      <c r="C96" s="496"/>
      <c r="D96" s="496"/>
      <c r="E96" s="494">
        <v>9933908</v>
      </c>
      <c r="F96" s="496">
        <f t="shared" si="13"/>
        <v>9933908</v>
      </c>
      <c r="G96" s="496"/>
      <c r="H96" s="496">
        <f t="shared" si="14"/>
        <v>9933908</v>
      </c>
      <c r="I96" s="420"/>
    </row>
    <row r="97" spans="1:9" ht="15" hidden="1" outlineLevel="1">
      <c r="A97" s="667" t="s">
        <v>298</v>
      </c>
      <c r="B97" s="495"/>
      <c r="C97" s="496"/>
      <c r="D97" s="496"/>
      <c r="E97" s="494">
        <v>74856769</v>
      </c>
      <c r="F97" s="496">
        <f t="shared" si="13"/>
        <v>74856769</v>
      </c>
      <c r="G97" s="496"/>
      <c r="H97" s="496">
        <f t="shared" si="14"/>
        <v>74856769</v>
      </c>
      <c r="I97" s="420"/>
    </row>
    <row r="98" spans="1:9" ht="15" hidden="1" outlineLevel="1">
      <c r="A98" s="667" t="s">
        <v>411</v>
      </c>
      <c r="B98" s="495"/>
      <c r="C98" s="496"/>
      <c r="D98" s="496"/>
      <c r="E98" s="494">
        <v>42086596</v>
      </c>
      <c r="F98" s="496">
        <f t="shared" si="13"/>
        <v>42086596</v>
      </c>
      <c r="G98" s="496"/>
      <c r="H98" s="496">
        <f t="shared" si="14"/>
        <v>42086596</v>
      </c>
      <c r="I98" s="420"/>
    </row>
    <row r="99" spans="1:9" ht="15" hidden="1" outlineLevel="1">
      <c r="A99" s="669" t="s">
        <v>412</v>
      </c>
      <c r="B99" s="495"/>
      <c r="C99" s="496"/>
      <c r="D99" s="496"/>
      <c r="E99" s="494">
        <v>44478297</v>
      </c>
      <c r="F99" s="496">
        <f t="shared" si="13"/>
        <v>44478297</v>
      </c>
      <c r="G99" s="496"/>
      <c r="H99" s="496">
        <f t="shared" si="14"/>
        <v>44478297</v>
      </c>
      <c r="I99" s="420"/>
    </row>
    <row r="100" spans="1:9" ht="15" collapsed="1">
      <c r="A100" s="668" t="s">
        <v>278</v>
      </c>
      <c r="B100" s="495" t="s">
        <v>114</v>
      </c>
      <c r="C100" s="496"/>
      <c r="D100" s="496"/>
      <c r="E100" s="493">
        <f>+SUM(E101:E103)</f>
        <v>153447837</v>
      </c>
      <c r="F100" s="493">
        <f>+SUM(F101:F103)</f>
        <v>153447837</v>
      </c>
      <c r="G100" s="496"/>
      <c r="H100" s="493">
        <f>+SUM(H101:H103)</f>
        <v>153447837</v>
      </c>
      <c r="I100" s="420"/>
    </row>
    <row r="101" spans="1:9" ht="15" hidden="1" outlineLevel="1">
      <c r="A101" s="670" t="s">
        <v>299</v>
      </c>
      <c r="B101" s="495"/>
      <c r="C101" s="496"/>
      <c r="D101" s="496"/>
      <c r="E101" s="496">
        <v>141747515</v>
      </c>
      <c r="F101" s="496">
        <f>SUM(B101:E101)</f>
        <v>141747515</v>
      </c>
      <c r="G101" s="496"/>
      <c r="H101" s="496">
        <f>+G101+F101</f>
        <v>141747515</v>
      </c>
      <c r="I101" s="420"/>
    </row>
    <row r="102" spans="1:9" ht="15" hidden="1" outlineLevel="1">
      <c r="A102" s="670" t="s">
        <v>300</v>
      </c>
      <c r="B102" s="495"/>
      <c r="C102" s="496"/>
      <c r="D102" s="496"/>
      <c r="E102" s="496">
        <v>5458455</v>
      </c>
      <c r="F102" s="496">
        <f>SUM(B102:E102)</f>
        <v>5458455</v>
      </c>
      <c r="G102" s="496"/>
      <c r="H102" s="496">
        <f>+G102+F102</f>
        <v>5458455</v>
      </c>
      <c r="I102" s="420"/>
    </row>
    <row r="103" spans="1:9" ht="15" hidden="1" outlineLevel="1">
      <c r="A103" s="670" t="s">
        <v>413</v>
      </c>
      <c r="B103" s="495"/>
      <c r="C103" s="496"/>
      <c r="D103" s="496"/>
      <c r="E103" s="496">
        <v>6241867</v>
      </c>
      <c r="F103" s="496">
        <f>SUM(B103:E103)</f>
        <v>6241867</v>
      </c>
      <c r="G103" s="496"/>
      <c r="H103" s="496">
        <f>+G103+F103</f>
        <v>6241867</v>
      </c>
      <c r="I103" s="420"/>
    </row>
    <row r="104" spans="1:9" ht="15" collapsed="1">
      <c r="A104" s="668" t="s">
        <v>301</v>
      </c>
      <c r="B104" s="495"/>
      <c r="C104" s="496"/>
      <c r="D104" s="496"/>
      <c r="E104" s="493">
        <f>SUM(E105:E107)</f>
        <v>104951538</v>
      </c>
      <c r="F104" s="493">
        <f>SUM(F105:F107)</f>
        <v>104951538</v>
      </c>
      <c r="G104" s="496"/>
      <c r="H104" s="493">
        <f>SUM(H105:H107)</f>
        <v>104951538</v>
      </c>
      <c r="I104" s="420"/>
    </row>
    <row r="105" spans="1:9" ht="15" hidden="1" outlineLevel="1">
      <c r="A105" s="669" t="s">
        <v>302</v>
      </c>
      <c r="B105" s="495"/>
      <c r="C105" s="496"/>
      <c r="D105" s="496"/>
      <c r="E105" s="494">
        <v>67940944</v>
      </c>
      <c r="F105" s="496">
        <f>SUM(B105:E105)</f>
        <v>67940944</v>
      </c>
      <c r="G105" s="496"/>
      <c r="H105" s="496">
        <f>+G105+F105</f>
        <v>67940944</v>
      </c>
      <c r="I105" s="420"/>
    </row>
    <row r="106" spans="1:9" ht="15" hidden="1" outlineLevel="1">
      <c r="A106" s="669" t="s">
        <v>414</v>
      </c>
      <c r="B106" s="495"/>
      <c r="C106" s="496"/>
      <c r="D106" s="496"/>
      <c r="E106" s="496">
        <v>31169594</v>
      </c>
      <c r="F106" s="496">
        <f>SUM(B106:E106)</f>
        <v>31169594</v>
      </c>
      <c r="G106" s="496"/>
      <c r="H106" s="496">
        <f>+G106+F106</f>
        <v>31169594</v>
      </c>
      <c r="I106" s="420"/>
    </row>
    <row r="107" spans="1:9" ht="15" hidden="1" outlineLevel="1">
      <c r="A107" s="669" t="s">
        <v>415</v>
      </c>
      <c r="B107" s="495"/>
      <c r="C107" s="496"/>
      <c r="D107" s="496"/>
      <c r="E107" s="494">
        <v>5841000</v>
      </c>
      <c r="F107" s="496">
        <f>SUM(B107:E107)</f>
        <v>5841000</v>
      </c>
      <c r="G107" s="496"/>
      <c r="H107" s="496">
        <f>+G107+F107</f>
        <v>5841000</v>
      </c>
      <c r="I107" s="420"/>
    </row>
    <row r="108" spans="1:9" ht="15" collapsed="1">
      <c r="A108" s="668" t="s">
        <v>416</v>
      </c>
      <c r="B108" s="495"/>
      <c r="C108" s="496"/>
      <c r="D108" s="496"/>
      <c r="E108" s="493">
        <f>+E109</f>
        <v>130886502</v>
      </c>
      <c r="F108" s="493">
        <f>+F109</f>
        <v>130886502</v>
      </c>
      <c r="G108" s="496"/>
      <c r="H108" s="493">
        <f>+H109</f>
        <v>130886502</v>
      </c>
      <c r="I108" s="420"/>
    </row>
    <row r="109" spans="1:9" ht="15" hidden="1" outlineLevel="1">
      <c r="A109" s="669" t="s">
        <v>417</v>
      </c>
      <c r="B109" s="495"/>
      <c r="C109" s="496"/>
      <c r="D109" s="496"/>
      <c r="E109" s="494">
        <v>130886502</v>
      </c>
      <c r="F109" s="496">
        <f>SUM(B109:E109)</f>
        <v>130886502</v>
      </c>
      <c r="G109" s="496"/>
      <c r="H109" s="496">
        <f>+G109+F109</f>
        <v>130886502</v>
      </c>
      <c r="I109" s="420"/>
    </row>
    <row r="110" spans="1:9" ht="15" collapsed="1">
      <c r="A110" s="669"/>
      <c r="B110" s="495"/>
      <c r="C110" s="496"/>
      <c r="D110" s="496"/>
      <c r="E110" s="494"/>
      <c r="F110" s="494"/>
      <c r="G110" s="496"/>
      <c r="H110" s="495"/>
      <c r="I110" s="420"/>
    </row>
    <row r="111" spans="1:9" s="659" customFormat="1" ht="15.75" customHeight="1">
      <c r="A111" s="652" t="s">
        <v>12</v>
      </c>
      <c r="B111" s="495"/>
      <c r="C111" s="495">
        <f>+C112+C116+C129+C134</f>
        <v>720045642</v>
      </c>
      <c r="D111" s="496"/>
      <c r="E111" s="496"/>
      <c r="F111" s="495">
        <f>+F112+F116+F129+F134</f>
        <v>720045642</v>
      </c>
      <c r="G111" s="496"/>
      <c r="H111" s="495">
        <f>+H112+H116+H129+H134</f>
        <v>720045642</v>
      </c>
      <c r="I111" s="422"/>
    </row>
    <row r="112" spans="1:9" s="659" customFormat="1" ht="15">
      <c r="A112" s="658" t="s">
        <v>179</v>
      </c>
      <c r="B112" s="495"/>
      <c r="C112" s="495">
        <f>SUM(C113:C115)</f>
        <v>60000000</v>
      </c>
      <c r="D112" s="496"/>
      <c r="E112" s="496"/>
      <c r="F112" s="495">
        <f>SUM(F113:F115)</f>
        <v>60000000</v>
      </c>
      <c r="G112" s="496"/>
      <c r="H112" s="495">
        <f>SUM(H113:H115)</f>
        <v>60000000</v>
      </c>
      <c r="I112" s="422"/>
    </row>
    <row r="113" spans="1:9" s="659" customFormat="1" ht="15" hidden="1" outlineLevel="1">
      <c r="A113" s="670" t="s">
        <v>288</v>
      </c>
      <c r="B113" s="495"/>
      <c r="C113" s="496">
        <v>60000000</v>
      </c>
      <c r="D113" s="496"/>
      <c r="E113" s="494"/>
      <c r="F113" s="496">
        <f>+E113+D113+C113+B113</f>
        <v>60000000</v>
      </c>
      <c r="G113" s="494"/>
      <c r="H113" s="496">
        <f>+G113+F113</f>
        <v>60000000</v>
      </c>
      <c r="I113" s="422"/>
    </row>
    <row r="114" spans="1:9" s="659" customFormat="1" ht="15" hidden="1" outlineLevel="1">
      <c r="A114" s="670" t="s">
        <v>289</v>
      </c>
      <c r="B114" s="495"/>
      <c r="C114" s="496">
        <v>0</v>
      </c>
      <c r="D114" s="496"/>
      <c r="E114" s="494"/>
      <c r="F114" s="496">
        <f>+E114+D114+C114+B114</f>
        <v>0</v>
      </c>
      <c r="G114" s="494"/>
      <c r="H114" s="496">
        <f>+G114+F114</f>
        <v>0</v>
      </c>
      <c r="I114" s="422"/>
    </row>
    <row r="115" spans="1:9" s="659" customFormat="1" ht="15" hidden="1" outlineLevel="1">
      <c r="A115" s="670" t="s">
        <v>290</v>
      </c>
      <c r="B115" s="495"/>
      <c r="C115" s="496">
        <v>0</v>
      </c>
      <c r="D115" s="496"/>
      <c r="E115" s="494"/>
      <c r="F115" s="496">
        <f>+E115+D115+C115+B115</f>
        <v>0</v>
      </c>
      <c r="G115" s="494"/>
      <c r="H115" s="496">
        <f>+G115+F115</f>
        <v>0</v>
      </c>
      <c r="I115" s="422"/>
    </row>
    <row r="116" spans="1:9" s="659" customFormat="1" ht="15" collapsed="1">
      <c r="A116" s="658" t="s">
        <v>13</v>
      </c>
      <c r="B116" s="495"/>
      <c r="C116" s="495">
        <f>+C117+C121+C127</f>
        <v>383902769</v>
      </c>
      <c r="D116" s="496"/>
      <c r="E116" s="496"/>
      <c r="F116" s="495">
        <f>+F117+F121+F127</f>
        <v>383902769</v>
      </c>
      <c r="G116" s="496"/>
      <c r="H116" s="495">
        <f>+H117+H121+H127</f>
        <v>383902769</v>
      </c>
      <c r="I116" s="422"/>
    </row>
    <row r="117" spans="1:9" s="659" customFormat="1" ht="14.25" hidden="1" outlineLevel="1">
      <c r="A117" s="669" t="s">
        <v>14</v>
      </c>
      <c r="B117" s="496"/>
      <c r="C117" s="494">
        <f>+SUM(C118:C120)</f>
        <v>208951248</v>
      </c>
      <c r="D117" s="496"/>
      <c r="E117" s="496"/>
      <c r="F117" s="494">
        <f>+SUM(F118:F120)</f>
        <v>208951248</v>
      </c>
      <c r="G117" s="496"/>
      <c r="H117" s="494">
        <f>+SUM(H118:H120)</f>
        <v>208951248</v>
      </c>
      <c r="I117" s="422"/>
    </row>
    <row r="118" spans="1:9" s="659" customFormat="1" ht="14.25" hidden="1" outlineLevel="2">
      <c r="A118" s="663" t="s">
        <v>418</v>
      </c>
      <c r="B118" s="496"/>
      <c r="C118" s="496">
        <v>24157374</v>
      </c>
      <c r="D118" s="496"/>
      <c r="E118" s="496"/>
      <c r="F118" s="496">
        <f>+E118+D118+C118+B118</f>
        <v>24157374</v>
      </c>
      <c r="G118" s="496"/>
      <c r="H118" s="496">
        <f>+G118+F118</f>
        <v>24157374</v>
      </c>
      <c r="I118" s="422"/>
    </row>
    <row r="119" spans="1:9" s="659" customFormat="1" ht="14.25" hidden="1" outlineLevel="2">
      <c r="A119" s="663" t="s">
        <v>419</v>
      </c>
      <c r="B119" s="496"/>
      <c r="C119" s="496">
        <v>19439400</v>
      </c>
      <c r="D119" s="496"/>
      <c r="E119" s="496"/>
      <c r="F119" s="496">
        <f>+E119+D119+C119+B119</f>
        <v>19439400</v>
      </c>
      <c r="G119" s="496"/>
      <c r="H119" s="496">
        <f>+G119+F119</f>
        <v>19439400</v>
      </c>
      <c r="I119" s="422"/>
    </row>
    <row r="120" spans="1:9" s="659" customFormat="1" ht="14.25" hidden="1" outlineLevel="2">
      <c r="A120" s="663" t="s">
        <v>420</v>
      </c>
      <c r="B120" s="496"/>
      <c r="C120" s="496">
        <v>165354474</v>
      </c>
      <c r="D120" s="496"/>
      <c r="E120" s="496"/>
      <c r="F120" s="496">
        <f>+E120+D120+C120+B120</f>
        <v>165354474</v>
      </c>
      <c r="G120" s="496"/>
      <c r="H120" s="496">
        <f>+G120+F120</f>
        <v>165354474</v>
      </c>
      <c r="I120" s="422"/>
    </row>
    <row r="121" spans="1:9" s="659" customFormat="1" ht="14.25" hidden="1" outlineLevel="1" collapsed="1">
      <c r="A121" s="669" t="s">
        <v>303</v>
      </c>
      <c r="B121" s="496"/>
      <c r="C121" s="494">
        <f>SUM(C122:C126)</f>
        <v>164951844</v>
      </c>
      <c r="D121" s="496"/>
      <c r="E121" s="496"/>
      <c r="F121" s="494">
        <f>SUM(F122:F126)</f>
        <v>164951844</v>
      </c>
      <c r="G121" s="496"/>
      <c r="H121" s="494">
        <f>SUM(H122:H126)</f>
        <v>164951844</v>
      </c>
      <c r="I121" s="422"/>
    </row>
    <row r="122" spans="1:9" s="659" customFormat="1" ht="14.25" hidden="1" outlineLevel="2">
      <c r="A122" s="663" t="s">
        <v>421</v>
      </c>
      <c r="B122" s="496"/>
      <c r="C122" s="496">
        <v>33663190</v>
      </c>
      <c r="D122" s="496"/>
      <c r="E122" s="496"/>
      <c r="F122" s="496">
        <f aca="true" t="shared" si="15" ref="F122:F128">+E122+D122+C122+B122</f>
        <v>33663190</v>
      </c>
      <c r="G122" s="496"/>
      <c r="H122" s="496">
        <f aca="true" t="shared" si="16" ref="H122:H128">+G122+F122</f>
        <v>33663190</v>
      </c>
      <c r="I122" s="422"/>
    </row>
    <row r="123" spans="1:9" s="659" customFormat="1" ht="14.25" hidden="1" outlineLevel="2">
      <c r="A123" s="663" t="s">
        <v>422</v>
      </c>
      <c r="B123" s="496"/>
      <c r="C123" s="496">
        <v>107800919</v>
      </c>
      <c r="D123" s="496"/>
      <c r="E123" s="496"/>
      <c r="F123" s="496">
        <f t="shared" si="15"/>
        <v>107800919</v>
      </c>
      <c r="G123" s="496"/>
      <c r="H123" s="496">
        <f t="shared" si="16"/>
        <v>107800919</v>
      </c>
      <c r="I123" s="422"/>
    </row>
    <row r="124" spans="1:9" s="659" customFormat="1" ht="14.25" hidden="1" outlineLevel="2">
      <c r="A124" s="663" t="s">
        <v>423</v>
      </c>
      <c r="B124" s="496"/>
      <c r="C124" s="496">
        <v>8907735</v>
      </c>
      <c r="D124" s="496"/>
      <c r="E124" s="496"/>
      <c r="F124" s="496">
        <f t="shared" si="15"/>
        <v>8907735</v>
      </c>
      <c r="G124" s="496"/>
      <c r="H124" s="496">
        <f t="shared" si="16"/>
        <v>8907735</v>
      </c>
      <c r="I124" s="422"/>
    </row>
    <row r="125" spans="1:9" s="659" customFormat="1" ht="14.25" hidden="1" outlineLevel="2">
      <c r="A125" s="663" t="s">
        <v>424</v>
      </c>
      <c r="B125" s="496"/>
      <c r="C125" s="496">
        <v>5580000</v>
      </c>
      <c r="D125" s="496"/>
      <c r="E125" s="496"/>
      <c r="F125" s="496">
        <f t="shared" si="15"/>
        <v>5580000</v>
      </c>
      <c r="G125" s="496"/>
      <c r="H125" s="496">
        <f t="shared" si="16"/>
        <v>5580000</v>
      </c>
      <c r="I125" s="422"/>
    </row>
    <row r="126" spans="1:9" s="659" customFormat="1" ht="14.25" hidden="1" outlineLevel="2">
      <c r="A126" s="663" t="s">
        <v>425</v>
      </c>
      <c r="B126" s="496"/>
      <c r="C126" s="496">
        <v>9000000</v>
      </c>
      <c r="D126" s="496"/>
      <c r="E126" s="496"/>
      <c r="F126" s="496">
        <f t="shared" si="15"/>
        <v>9000000</v>
      </c>
      <c r="G126" s="496"/>
      <c r="H126" s="496">
        <f t="shared" si="16"/>
        <v>9000000</v>
      </c>
      <c r="I126" s="422"/>
    </row>
    <row r="127" spans="1:9" s="659" customFormat="1" ht="14.25" hidden="1" outlineLevel="1" collapsed="1">
      <c r="A127" s="669" t="s">
        <v>304</v>
      </c>
      <c r="B127" s="496"/>
      <c r="C127" s="496">
        <f>+C128</f>
        <v>9999677</v>
      </c>
      <c r="D127" s="496"/>
      <c r="E127" s="496"/>
      <c r="F127" s="496">
        <f t="shared" si="15"/>
        <v>9999677</v>
      </c>
      <c r="G127" s="496"/>
      <c r="H127" s="496">
        <f t="shared" si="16"/>
        <v>9999677</v>
      </c>
      <c r="I127" s="422"/>
    </row>
    <row r="128" spans="1:9" s="659" customFormat="1" ht="14.25" hidden="1" outlineLevel="1">
      <c r="A128" s="663" t="s">
        <v>426</v>
      </c>
      <c r="B128" s="496"/>
      <c r="C128" s="496">
        <v>9999677</v>
      </c>
      <c r="D128" s="496"/>
      <c r="E128" s="496"/>
      <c r="F128" s="496">
        <f t="shared" si="15"/>
        <v>9999677</v>
      </c>
      <c r="G128" s="496"/>
      <c r="H128" s="496">
        <f t="shared" si="16"/>
        <v>9999677</v>
      </c>
      <c r="I128" s="422"/>
    </row>
    <row r="129" spans="1:9" s="659" customFormat="1" ht="15" collapsed="1">
      <c r="A129" s="658" t="s">
        <v>0</v>
      </c>
      <c r="B129" s="495" t="s">
        <v>114</v>
      </c>
      <c r="C129" s="495">
        <f>+C130+C131+C132+C133</f>
        <v>121992140</v>
      </c>
      <c r="D129" s="496"/>
      <c r="E129" s="496"/>
      <c r="F129" s="495">
        <f>+F130+F131+F132+F133</f>
        <v>121992140</v>
      </c>
      <c r="G129" s="496"/>
      <c r="H129" s="495">
        <f>+H130+H131+H132+H133</f>
        <v>121992140</v>
      </c>
      <c r="I129" s="422"/>
    </row>
    <row r="130" spans="1:9" s="659" customFormat="1" ht="15" hidden="1" outlineLevel="1">
      <c r="A130" s="669" t="s">
        <v>427</v>
      </c>
      <c r="B130" s="495"/>
      <c r="C130" s="496">
        <v>33662657</v>
      </c>
      <c r="D130" s="496"/>
      <c r="E130" s="496"/>
      <c r="F130" s="496">
        <f>+E130+D130+C130+B130</f>
        <v>33662657</v>
      </c>
      <c r="G130" s="496"/>
      <c r="H130" s="496">
        <f>+G130+F130</f>
        <v>33662657</v>
      </c>
      <c r="I130" s="422"/>
    </row>
    <row r="131" spans="1:9" s="659" customFormat="1" ht="15" hidden="1" outlineLevel="1">
      <c r="A131" s="669" t="s">
        <v>428</v>
      </c>
      <c r="B131" s="495"/>
      <c r="C131" s="494">
        <v>42490429</v>
      </c>
      <c r="D131" s="494"/>
      <c r="E131" s="494"/>
      <c r="F131" s="496">
        <f>+E131+D131+C131+B131</f>
        <v>42490429</v>
      </c>
      <c r="G131" s="494"/>
      <c r="H131" s="496">
        <f>+G131+F131</f>
        <v>42490429</v>
      </c>
      <c r="I131" s="422"/>
    </row>
    <row r="132" spans="1:9" s="659" customFormat="1" ht="15" hidden="1" outlineLevel="1">
      <c r="A132" s="669" t="s">
        <v>429</v>
      </c>
      <c r="B132" s="495"/>
      <c r="C132" s="496">
        <v>45839054</v>
      </c>
      <c r="D132" s="496"/>
      <c r="E132" s="496"/>
      <c r="F132" s="496">
        <f>+E132+D132+C132+B132</f>
        <v>45839054</v>
      </c>
      <c r="G132" s="496"/>
      <c r="H132" s="496">
        <f>+G132+F132</f>
        <v>45839054</v>
      </c>
      <c r="I132" s="422"/>
    </row>
    <row r="133" spans="1:9" s="659" customFormat="1" ht="15" hidden="1" outlineLevel="1">
      <c r="A133" s="669"/>
      <c r="B133" s="495"/>
      <c r="C133" s="496"/>
      <c r="D133" s="496"/>
      <c r="E133" s="496"/>
      <c r="F133" s="496"/>
      <c r="G133" s="496"/>
      <c r="H133" s="496"/>
      <c r="I133" s="422"/>
    </row>
    <row r="134" spans="1:9" s="659" customFormat="1" ht="15" collapsed="1">
      <c r="A134" s="658" t="s">
        <v>271</v>
      </c>
      <c r="B134" s="494"/>
      <c r="C134" s="493">
        <f>SUM(C135:C136)</f>
        <v>154150733</v>
      </c>
      <c r="D134" s="493"/>
      <c r="E134" s="493"/>
      <c r="F134" s="493">
        <f>SUM(F135:F136)</f>
        <v>154150733</v>
      </c>
      <c r="G134" s="493"/>
      <c r="H134" s="493">
        <f>SUM(H135:H136)</f>
        <v>154150733</v>
      </c>
      <c r="I134" s="422"/>
    </row>
    <row r="135" spans="1:9" s="659" customFormat="1" ht="15" hidden="1" outlineLevel="1">
      <c r="A135" s="669" t="s">
        <v>430</v>
      </c>
      <c r="B135" s="495"/>
      <c r="C135" s="494">
        <v>83702510</v>
      </c>
      <c r="D135" s="496"/>
      <c r="E135" s="496"/>
      <c r="F135" s="496">
        <f>+E135+D135+C135+B135</f>
        <v>83702510</v>
      </c>
      <c r="G135" s="496"/>
      <c r="H135" s="496">
        <f>+G135+F135</f>
        <v>83702510</v>
      </c>
      <c r="I135" s="422"/>
    </row>
    <row r="136" spans="1:9" s="659" customFormat="1" ht="15" hidden="1" outlineLevel="1">
      <c r="A136" s="669" t="s">
        <v>431</v>
      </c>
      <c r="B136" s="495"/>
      <c r="C136" s="494">
        <v>70448223</v>
      </c>
      <c r="D136" s="496"/>
      <c r="E136" s="496"/>
      <c r="F136" s="496">
        <f>+E136+D136+C136+B136</f>
        <v>70448223</v>
      </c>
      <c r="G136" s="496"/>
      <c r="H136" s="496">
        <f>+G136+F136</f>
        <v>70448223</v>
      </c>
      <c r="I136" s="422"/>
    </row>
    <row r="137" spans="1:9" s="659" customFormat="1" ht="15" collapsed="1">
      <c r="A137" s="669"/>
      <c r="B137" s="495"/>
      <c r="C137" s="496"/>
      <c r="D137" s="496"/>
      <c r="E137" s="496"/>
      <c r="F137" s="495"/>
      <c r="G137" s="496"/>
      <c r="H137" s="495"/>
      <c r="I137" s="422"/>
    </row>
    <row r="138" spans="1:9" ht="15">
      <c r="A138" s="650" t="s">
        <v>123</v>
      </c>
      <c r="B138" s="496"/>
      <c r="C138" s="495"/>
      <c r="D138" s="495">
        <f>+D139+D144+D150+D155+D157</f>
        <v>4778849437.3</v>
      </c>
      <c r="E138" s="495"/>
      <c r="F138" s="495">
        <f>+F139+F144+F150+F155+F157</f>
        <v>4778849437.3</v>
      </c>
      <c r="G138" s="495"/>
      <c r="H138" s="495">
        <f>+H139+H144+H150+H155+H157</f>
        <v>4778849437.3</v>
      </c>
      <c r="I138" s="420"/>
    </row>
    <row r="139" spans="1:9" s="659" customFormat="1" ht="15">
      <c r="A139" s="650" t="s">
        <v>152</v>
      </c>
      <c r="B139" s="495"/>
      <c r="C139" s="496"/>
      <c r="D139" s="493">
        <f>+SUM(D140:D143)</f>
        <v>3147683915.8</v>
      </c>
      <c r="E139" s="496"/>
      <c r="F139" s="493">
        <f>+SUM(F140:F143)</f>
        <v>3147683915.8</v>
      </c>
      <c r="G139" s="496"/>
      <c r="H139" s="493">
        <f>+SUM(H140:H143)</f>
        <v>3147683915.8</v>
      </c>
      <c r="I139" s="422"/>
    </row>
    <row r="140" spans="1:9" s="659" customFormat="1" ht="15" hidden="1" outlineLevel="1">
      <c r="A140" s="663" t="s">
        <v>292</v>
      </c>
      <c r="B140" s="495"/>
      <c r="C140" s="496"/>
      <c r="D140" s="494">
        <v>2167213588.8</v>
      </c>
      <c r="E140" s="496"/>
      <c r="F140" s="496">
        <f>+E140+D140+C140+B140</f>
        <v>2167213588.8</v>
      </c>
      <c r="G140" s="496"/>
      <c r="H140" s="496">
        <f>+G140+F140</f>
        <v>2167213588.8</v>
      </c>
      <c r="I140" s="422"/>
    </row>
    <row r="141" spans="1:9" s="659" customFormat="1" ht="15" hidden="1" outlineLevel="1">
      <c r="A141" s="663" t="s">
        <v>149</v>
      </c>
      <c r="B141" s="495"/>
      <c r="C141" s="496"/>
      <c r="D141" s="494">
        <v>80137838</v>
      </c>
      <c r="E141" s="496"/>
      <c r="F141" s="496">
        <f>+E141+D141+C141+B141</f>
        <v>80137838</v>
      </c>
      <c r="G141" s="496"/>
      <c r="H141" s="496">
        <f>+G141+F141</f>
        <v>80137838</v>
      </c>
      <c r="I141" s="422"/>
    </row>
    <row r="142" spans="1:9" s="659" customFormat="1" ht="15" hidden="1" outlineLevel="1">
      <c r="A142" s="663" t="s">
        <v>150</v>
      </c>
      <c r="B142" s="495"/>
      <c r="C142" s="496"/>
      <c r="D142" s="494">
        <v>667678922</v>
      </c>
      <c r="E142" s="496"/>
      <c r="F142" s="496">
        <f>+E142+D142+C142+B142</f>
        <v>667678922</v>
      </c>
      <c r="G142" s="496"/>
      <c r="H142" s="496">
        <f>+G142+F142</f>
        <v>667678922</v>
      </c>
      <c r="I142" s="422"/>
    </row>
    <row r="143" spans="1:9" s="659" customFormat="1" ht="15" hidden="1" outlineLevel="1">
      <c r="A143" s="663" t="s">
        <v>291</v>
      </c>
      <c r="B143" s="495"/>
      <c r="C143" s="496"/>
      <c r="D143" s="494">
        <v>232653567</v>
      </c>
      <c r="E143" s="496"/>
      <c r="F143" s="496">
        <f>+E143+D143+C143+B143</f>
        <v>232653567</v>
      </c>
      <c r="G143" s="496"/>
      <c r="H143" s="496">
        <f>+G143+F143</f>
        <v>232653567</v>
      </c>
      <c r="I143" s="422"/>
    </row>
    <row r="144" spans="1:9" s="659" customFormat="1" ht="15" collapsed="1">
      <c r="A144" s="650" t="s">
        <v>15</v>
      </c>
      <c r="B144" s="495"/>
      <c r="C144" s="496"/>
      <c r="D144" s="493">
        <f>+D145+D148</f>
        <v>88140599</v>
      </c>
      <c r="E144" s="496"/>
      <c r="F144" s="495">
        <f>+F145+F148</f>
        <v>88140599</v>
      </c>
      <c r="G144" s="496"/>
      <c r="H144" s="495">
        <f>+G144+F144</f>
        <v>88140599</v>
      </c>
      <c r="I144" s="422"/>
    </row>
    <row r="145" spans="1:9" s="659" customFormat="1" ht="15" hidden="1" outlineLevel="1">
      <c r="A145" s="650" t="s">
        <v>156</v>
      </c>
      <c r="B145" s="495"/>
      <c r="C145" s="496"/>
      <c r="D145" s="493">
        <f>+SUM(D146:D147)</f>
        <v>41005064</v>
      </c>
      <c r="E145" s="496"/>
      <c r="F145" s="493">
        <f>+SUM(F146:F147)</f>
        <v>41005064</v>
      </c>
      <c r="G145" s="496"/>
      <c r="H145" s="493">
        <f>+SUM(H146:H147)</f>
        <v>41005064</v>
      </c>
      <c r="I145" s="422"/>
    </row>
    <row r="146" spans="1:9" s="659" customFormat="1" ht="15" hidden="1" outlineLevel="2">
      <c r="A146" s="663" t="s">
        <v>268</v>
      </c>
      <c r="B146" s="495"/>
      <c r="C146" s="496"/>
      <c r="D146" s="494">
        <v>5195000</v>
      </c>
      <c r="E146" s="496"/>
      <c r="F146" s="496">
        <f>+D146</f>
        <v>5195000</v>
      </c>
      <c r="G146" s="496"/>
      <c r="H146" s="496">
        <f>+G146+F146</f>
        <v>5195000</v>
      </c>
      <c r="I146" s="422"/>
    </row>
    <row r="147" spans="1:9" s="659" customFormat="1" ht="15" hidden="1" outlineLevel="2">
      <c r="A147" s="663" t="s">
        <v>269</v>
      </c>
      <c r="B147" s="495"/>
      <c r="C147" s="496"/>
      <c r="D147" s="494">
        <v>35810064</v>
      </c>
      <c r="E147" s="496"/>
      <c r="F147" s="496">
        <f>+D147</f>
        <v>35810064</v>
      </c>
      <c r="G147" s="496"/>
      <c r="H147" s="496">
        <f>+G147+F147</f>
        <v>35810064</v>
      </c>
      <c r="I147" s="422"/>
    </row>
    <row r="148" spans="1:9" s="659" customFormat="1" ht="15" hidden="1" outlineLevel="1" collapsed="1">
      <c r="A148" s="650" t="s">
        <v>155</v>
      </c>
      <c r="B148" s="495"/>
      <c r="C148" s="496"/>
      <c r="D148" s="493">
        <f>+D149</f>
        <v>47135535</v>
      </c>
      <c r="E148" s="496"/>
      <c r="F148" s="495">
        <f>+F149</f>
        <v>47135535</v>
      </c>
      <c r="G148" s="496"/>
      <c r="H148" s="495">
        <f>+G148+F148</f>
        <v>47135535</v>
      </c>
      <c r="I148" s="422"/>
    </row>
    <row r="149" spans="1:9" s="659" customFormat="1" ht="15" hidden="1" outlineLevel="2">
      <c r="A149" s="663" t="s">
        <v>148</v>
      </c>
      <c r="B149" s="495"/>
      <c r="C149" s="496"/>
      <c r="D149" s="494">
        <v>47135535</v>
      </c>
      <c r="E149" s="496"/>
      <c r="F149" s="496">
        <f>+D149</f>
        <v>47135535</v>
      </c>
      <c r="G149" s="496"/>
      <c r="H149" s="496">
        <f>+G149+F149</f>
        <v>47135535</v>
      </c>
      <c r="I149" s="422"/>
    </row>
    <row r="150" spans="1:9" s="659" customFormat="1" ht="15" collapsed="1">
      <c r="A150" s="650" t="s">
        <v>151</v>
      </c>
      <c r="B150" s="495" t="s">
        <v>114</v>
      </c>
      <c r="C150" s="496"/>
      <c r="D150" s="493">
        <f>+SUM(D151:D154)</f>
        <v>119966775</v>
      </c>
      <c r="E150" s="496"/>
      <c r="F150" s="493">
        <f>+SUM(F151:F154)</f>
        <v>119966775</v>
      </c>
      <c r="G150" s="496"/>
      <c r="H150" s="493">
        <f>+SUM(H151:H154)</f>
        <v>119966775</v>
      </c>
      <c r="I150" s="422"/>
    </row>
    <row r="151" spans="1:9" s="659" customFormat="1" ht="15" hidden="1" outlineLevel="1">
      <c r="A151" s="662" t="s">
        <v>159</v>
      </c>
      <c r="B151" s="495"/>
      <c r="C151" s="496"/>
      <c r="D151" s="494">
        <v>70000000</v>
      </c>
      <c r="E151" s="496"/>
      <c r="F151" s="496">
        <f>+E151+D151+C151+B151</f>
        <v>70000000</v>
      </c>
      <c r="G151" s="494"/>
      <c r="H151" s="496">
        <f aca="true" t="shared" si="17" ref="H151:H156">+G151+F151</f>
        <v>70000000</v>
      </c>
      <c r="I151" s="422"/>
    </row>
    <row r="152" spans="1:9" s="659" customFormat="1" ht="15" hidden="1" outlineLevel="1">
      <c r="A152" s="662" t="s">
        <v>264</v>
      </c>
      <c r="B152" s="495"/>
      <c r="C152" s="496"/>
      <c r="D152" s="496">
        <v>25000000</v>
      </c>
      <c r="E152" s="496"/>
      <c r="F152" s="496">
        <f>+E152+D152+C152+B152</f>
        <v>25000000</v>
      </c>
      <c r="G152" s="494"/>
      <c r="H152" s="496">
        <f t="shared" si="17"/>
        <v>25000000</v>
      </c>
      <c r="I152" s="422"/>
    </row>
    <row r="153" spans="1:9" s="659" customFormat="1" ht="15" hidden="1" outlineLevel="1">
      <c r="A153" s="662" t="s">
        <v>265</v>
      </c>
      <c r="B153" s="495"/>
      <c r="C153" s="496"/>
      <c r="D153" s="494">
        <v>24966775</v>
      </c>
      <c r="E153" s="496"/>
      <c r="F153" s="496">
        <f>+E153+D153+C153+B153</f>
        <v>24966775</v>
      </c>
      <c r="G153" s="494"/>
      <c r="H153" s="496">
        <f t="shared" si="17"/>
        <v>24966775</v>
      </c>
      <c r="I153" s="422"/>
    </row>
    <row r="154" spans="1:9" s="659" customFormat="1" ht="15" hidden="1" outlineLevel="1">
      <c r="A154" s="662" t="s">
        <v>470</v>
      </c>
      <c r="B154" s="495"/>
      <c r="C154" s="496"/>
      <c r="D154" s="494">
        <v>0</v>
      </c>
      <c r="E154" s="496"/>
      <c r="F154" s="496">
        <f>+E154+D154+C154+B154</f>
        <v>0</v>
      </c>
      <c r="G154" s="494"/>
      <c r="H154" s="496">
        <f t="shared" si="17"/>
        <v>0</v>
      </c>
      <c r="I154" s="422"/>
    </row>
    <row r="155" spans="1:9" ht="15" collapsed="1">
      <c r="A155" s="650" t="s">
        <v>8</v>
      </c>
      <c r="B155" s="496"/>
      <c r="C155" s="496"/>
      <c r="D155" s="493">
        <f>+D156</f>
        <v>159195763</v>
      </c>
      <c r="E155" s="496"/>
      <c r="F155" s="495">
        <f>+F156</f>
        <v>159195763</v>
      </c>
      <c r="G155" s="495"/>
      <c r="H155" s="495">
        <f t="shared" si="17"/>
        <v>159195763</v>
      </c>
      <c r="I155" s="420"/>
    </row>
    <row r="156" spans="1:9" ht="15" hidden="1" outlineLevel="1">
      <c r="A156" s="663" t="s">
        <v>153</v>
      </c>
      <c r="B156" s="496"/>
      <c r="C156" s="496"/>
      <c r="D156" s="494">
        <v>159195763</v>
      </c>
      <c r="E156" s="496"/>
      <c r="F156" s="496">
        <f>SUM(B156:E156)</f>
        <v>159195763</v>
      </c>
      <c r="G156" s="495"/>
      <c r="H156" s="496">
        <f t="shared" si="17"/>
        <v>159195763</v>
      </c>
      <c r="I156" s="420"/>
    </row>
    <row r="157" spans="1:9" ht="15.75" customHeight="1" collapsed="1">
      <c r="A157" s="650" t="s">
        <v>270</v>
      </c>
      <c r="B157" s="496"/>
      <c r="C157" s="496"/>
      <c r="D157" s="493">
        <f>+D158+SUM(D161:D165)</f>
        <v>1263862384.5</v>
      </c>
      <c r="E157" s="496"/>
      <c r="F157" s="493">
        <f>+F158+SUM(F161:F165)</f>
        <v>1263862384.5</v>
      </c>
      <c r="G157" s="493"/>
      <c r="H157" s="493">
        <f>+H158+SUM(H161:H165)</f>
        <v>1263862384.5</v>
      </c>
      <c r="I157" s="420"/>
    </row>
    <row r="158" spans="1:9" ht="15.75" customHeight="1" hidden="1" outlineLevel="1">
      <c r="A158" s="669" t="s">
        <v>296</v>
      </c>
      <c r="B158" s="496"/>
      <c r="C158" s="496"/>
      <c r="D158" s="494">
        <f>+SUM(D159:D160)</f>
        <v>1152158711</v>
      </c>
      <c r="E158" s="496"/>
      <c r="F158" s="496">
        <f aca="true" t="shared" si="18" ref="F158:F165">SUM(B158:E158)</f>
        <v>1152158711</v>
      </c>
      <c r="G158" s="495"/>
      <c r="H158" s="496">
        <f>+F158+G158</f>
        <v>1152158711</v>
      </c>
      <c r="I158" s="420"/>
    </row>
    <row r="159" spans="1:9" ht="15.75" customHeight="1" hidden="1" outlineLevel="2">
      <c r="A159" s="663" t="s">
        <v>294</v>
      </c>
      <c r="B159" s="496"/>
      <c r="C159" s="496"/>
      <c r="D159" s="494">
        <v>345903600</v>
      </c>
      <c r="E159" s="496"/>
      <c r="F159" s="496">
        <f t="shared" si="18"/>
        <v>345903600</v>
      </c>
      <c r="G159" s="495"/>
      <c r="H159" s="496">
        <f aca="true" t="shared" si="19" ref="H159:H165">+G159+F159</f>
        <v>345903600</v>
      </c>
      <c r="I159" s="420"/>
    </row>
    <row r="160" spans="1:9" ht="15.75" customHeight="1" hidden="1" outlineLevel="2">
      <c r="A160" s="663" t="s">
        <v>147</v>
      </c>
      <c r="B160" s="496"/>
      <c r="C160" s="496"/>
      <c r="D160" s="494">
        <v>806255111</v>
      </c>
      <c r="E160" s="496"/>
      <c r="F160" s="496">
        <f t="shared" si="18"/>
        <v>806255111</v>
      </c>
      <c r="G160" s="495"/>
      <c r="H160" s="496">
        <f t="shared" si="19"/>
        <v>806255111</v>
      </c>
      <c r="I160" s="420"/>
    </row>
    <row r="161" spans="1:9" ht="15" hidden="1" outlineLevel="1" collapsed="1">
      <c r="A161" s="669" t="s">
        <v>267</v>
      </c>
      <c r="B161" s="496"/>
      <c r="C161" s="496"/>
      <c r="D161" s="494">
        <v>11872962</v>
      </c>
      <c r="E161" s="496"/>
      <c r="F161" s="496">
        <f t="shared" si="18"/>
        <v>11872962</v>
      </c>
      <c r="G161" s="495"/>
      <c r="H161" s="496">
        <f t="shared" si="19"/>
        <v>11872962</v>
      </c>
      <c r="I161" s="420"/>
    </row>
    <row r="162" spans="1:9" ht="15" hidden="1" outlineLevel="1">
      <c r="A162" s="669" t="s">
        <v>295</v>
      </c>
      <c r="B162" s="496"/>
      <c r="C162" s="496"/>
      <c r="D162" s="496">
        <v>9335014.5</v>
      </c>
      <c r="E162" s="496"/>
      <c r="F162" s="496">
        <f t="shared" si="18"/>
        <v>9335014.5</v>
      </c>
      <c r="G162" s="495"/>
      <c r="H162" s="496">
        <f t="shared" si="19"/>
        <v>9335014.5</v>
      </c>
      <c r="I162" s="420"/>
    </row>
    <row r="163" spans="1:9" ht="14.25" hidden="1" outlineLevel="1">
      <c r="A163" s="669" t="s">
        <v>284</v>
      </c>
      <c r="B163" s="496"/>
      <c r="C163" s="496"/>
      <c r="D163" s="494">
        <v>78784660</v>
      </c>
      <c r="E163" s="496"/>
      <c r="F163" s="496">
        <f t="shared" si="18"/>
        <v>78784660</v>
      </c>
      <c r="G163" s="496"/>
      <c r="H163" s="496">
        <f t="shared" si="19"/>
        <v>78784660</v>
      </c>
      <c r="I163" s="420"/>
    </row>
    <row r="164" spans="1:9" ht="14.25" hidden="1" outlineLevel="1">
      <c r="A164" s="669" t="s">
        <v>432</v>
      </c>
      <c r="B164" s="496"/>
      <c r="C164" s="496"/>
      <c r="D164" s="494">
        <v>9641417</v>
      </c>
      <c r="E164" s="496"/>
      <c r="F164" s="496">
        <f t="shared" si="18"/>
        <v>9641417</v>
      </c>
      <c r="G164" s="496"/>
      <c r="H164" s="496">
        <f t="shared" si="19"/>
        <v>9641417</v>
      </c>
      <c r="I164" s="420"/>
    </row>
    <row r="165" spans="1:9" ht="14.25" hidden="1" outlineLevel="1">
      <c r="A165" s="669" t="s">
        <v>285</v>
      </c>
      <c r="B165" s="496"/>
      <c r="C165" s="496"/>
      <c r="D165" s="494">
        <v>2069620</v>
      </c>
      <c r="E165" s="496"/>
      <c r="F165" s="496">
        <f t="shared" si="18"/>
        <v>2069620</v>
      </c>
      <c r="G165" s="496"/>
      <c r="H165" s="496">
        <f t="shared" si="19"/>
        <v>2069620</v>
      </c>
      <c r="I165" s="420"/>
    </row>
    <row r="166" spans="1:9" ht="14.25" collapsed="1">
      <c r="A166" s="663"/>
      <c r="B166" s="496"/>
      <c r="C166" s="496"/>
      <c r="D166" s="496"/>
      <c r="E166" s="496"/>
      <c r="F166" s="496"/>
      <c r="G166" s="496"/>
      <c r="H166" s="494"/>
      <c r="I166" s="420"/>
    </row>
    <row r="167" spans="1:9" ht="15">
      <c r="A167" s="658" t="s">
        <v>171</v>
      </c>
      <c r="B167" s="496"/>
      <c r="C167" s="496"/>
      <c r="D167" s="496"/>
      <c r="E167" s="496"/>
      <c r="F167" s="496"/>
      <c r="G167" s="495">
        <v>863119710</v>
      </c>
      <c r="H167" s="493">
        <f>+G167+F167</f>
        <v>863119710</v>
      </c>
      <c r="I167" s="420"/>
    </row>
    <row r="168" spans="1:9" ht="15">
      <c r="A168" s="658"/>
      <c r="B168" s="496"/>
      <c r="C168" s="496"/>
      <c r="D168" s="496"/>
      <c r="E168" s="496"/>
      <c r="F168" s="496"/>
      <c r="G168" s="495"/>
      <c r="H168" s="496"/>
      <c r="I168" s="420"/>
    </row>
    <row r="169" spans="1:9" ht="15">
      <c r="A169" s="650" t="s">
        <v>471</v>
      </c>
      <c r="B169" s="496"/>
      <c r="C169" s="496"/>
      <c r="D169" s="496"/>
      <c r="E169" s="496"/>
      <c r="F169" s="496">
        <f>SUM(B169:E169)</f>
        <v>0</v>
      </c>
      <c r="G169" s="651"/>
      <c r="H169" s="496"/>
      <c r="I169" s="420"/>
    </row>
    <row r="170" spans="1:9" ht="14.25">
      <c r="A170" s="653" t="s">
        <v>472</v>
      </c>
      <c r="B170" s="496"/>
      <c r="C170" s="496"/>
      <c r="D170" s="496"/>
      <c r="E170" s="496"/>
      <c r="F170" s="496">
        <f>SUM(B170:E170)</f>
        <v>0</v>
      </c>
      <c r="G170" s="661"/>
      <c r="H170" s="496"/>
      <c r="I170" s="420"/>
    </row>
    <row r="171" spans="1:9" ht="14.25">
      <c r="A171" s="653" t="s">
        <v>473</v>
      </c>
      <c r="B171" s="496"/>
      <c r="C171" s="496"/>
      <c r="D171" s="496"/>
      <c r="E171" s="496"/>
      <c r="F171" s="496">
        <f>SUM(B171:E171)</f>
        <v>0</v>
      </c>
      <c r="G171" s="661"/>
      <c r="H171" s="496"/>
      <c r="I171" s="420"/>
    </row>
    <row r="172" spans="1:9" ht="15.75">
      <c r="A172" s="671"/>
      <c r="B172" s="496"/>
      <c r="C172" s="496"/>
      <c r="D172" s="496"/>
      <c r="E172" s="496"/>
      <c r="F172" s="496"/>
      <c r="G172" s="496"/>
      <c r="H172" s="496"/>
      <c r="I172" s="420"/>
    </row>
    <row r="173" spans="1:9" ht="15">
      <c r="A173" s="672" t="s">
        <v>474</v>
      </c>
      <c r="B173" s="493">
        <f aca="true" t="shared" si="20" ref="B173:G173">+B167+B39+B37</f>
        <v>2828630591.193334</v>
      </c>
      <c r="C173" s="493">
        <f t="shared" si="20"/>
        <v>947426112.0933334</v>
      </c>
      <c r="D173" s="493">
        <f t="shared" si="20"/>
        <v>5906842329.16</v>
      </c>
      <c r="E173" s="493">
        <f t="shared" si="20"/>
        <v>3300056174.0833335</v>
      </c>
      <c r="F173" s="493">
        <f t="shared" si="20"/>
        <v>12982955206.529999</v>
      </c>
      <c r="G173" s="493">
        <f t="shared" si="20"/>
        <v>1423292461.718</v>
      </c>
      <c r="H173" s="493">
        <f>+H167+H39+H37+H169</f>
        <v>14406247668.248001</v>
      </c>
      <c r="I173" s="420"/>
    </row>
    <row r="174" spans="1:9" ht="15.75" thickBot="1">
      <c r="A174" s="673"/>
      <c r="B174" s="674"/>
      <c r="C174" s="675"/>
      <c r="D174" s="675"/>
      <c r="E174" s="675"/>
      <c r="F174" s="675"/>
      <c r="G174" s="675"/>
      <c r="H174" s="675"/>
      <c r="I174" s="420"/>
    </row>
    <row r="175" spans="1:9" ht="12.75">
      <c r="A175" s="420"/>
      <c r="B175" s="420"/>
      <c r="C175" s="420"/>
      <c r="D175" s="420"/>
      <c r="E175" s="420"/>
      <c r="F175" s="420"/>
      <c r="G175" s="420"/>
      <c r="H175" s="420"/>
      <c r="I175" s="420"/>
    </row>
    <row r="176" spans="1:9" ht="12.75">
      <c r="A176" s="420"/>
      <c r="B176" s="420"/>
      <c r="C176" s="421"/>
      <c r="D176" s="420"/>
      <c r="E176" s="420"/>
      <c r="F176" s="420"/>
      <c r="G176" s="421"/>
      <c r="H176" s="676"/>
      <c r="I176" s="420"/>
    </row>
    <row r="177" spans="1:9" ht="12.75">
      <c r="A177" s="420"/>
      <c r="B177" s="420"/>
      <c r="C177" s="421"/>
      <c r="D177" s="420"/>
      <c r="E177" s="420"/>
      <c r="F177" s="420"/>
      <c r="G177" s="420"/>
      <c r="H177" s="656"/>
      <c r="I177" s="420"/>
    </row>
    <row r="178" spans="1:9" ht="12.75">
      <c r="A178" s="420"/>
      <c r="B178" s="420"/>
      <c r="C178" s="420" t="s">
        <v>475</v>
      </c>
      <c r="D178" s="421">
        <f>+B173+C173+E173+G173</f>
        <v>8499405339.088001</v>
      </c>
      <c r="E178" s="420"/>
      <c r="F178" s="421"/>
      <c r="G178" s="656"/>
      <c r="H178" s="421"/>
      <c r="I178" s="420"/>
    </row>
    <row r="179" spans="1:9" ht="12.75">
      <c r="A179" s="420"/>
      <c r="B179" s="420"/>
      <c r="C179" s="420" t="s">
        <v>476</v>
      </c>
      <c r="D179" s="421">
        <f>+D173</f>
        <v>5906842329.16</v>
      </c>
      <c r="E179" s="420"/>
      <c r="F179" s="420"/>
      <c r="G179" s="421"/>
      <c r="H179" s="421"/>
      <c r="I179" s="420"/>
    </row>
    <row r="180" spans="1:9" ht="12.75">
      <c r="A180" s="420"/>
      <c r="B180" s="420"/>
      <c r="C180" s="420"/>
      <c r="D180" s="420"/>
      <c r="E180" s="420"/>
      <c r="F180" s="420"/>
      <c r="G180" s="420"/>
      <c r="H180" s="421"/>
      <c r="I180" s="420"/>
    </row>
    <row r="181" spans="1:9" ht="12.75">
      <c r="A181" s="420"/>
      <c r="B181" s="420"/>
      <c r="C181" s="420"/>
      <c r="D181" s="420"/>
      <c r="E181" s="420"/>
      <c r="F181" s="420"/>
      <c r="G181" s="420"/>
      <c r="H181" s="421"/>
      <c r="I181" s="420"/>
    </row>
    <row r="182" spans="1:9" ht="12.75">
      <c r="A182" s="420"/>
      <c r="B182" s="420"/>
      <c r="C182" s="420"/>
      <c r="D182" s="420"/>
      <c r="E182" s="420"/>
      <c r="F182" s="420"/>
      <c r="G182" s="420"/>
      <c r="H182" s="421"/>
      <c r="I182" s="420"/>
    </row>
    <row r="183" spans="1:9" ht="12.75">
      <c r="A183" s="420"/>
      <c r="B183" s="420"/>
      <c r="C183" s="420"/>
      <c r="D183" s="420"/>
      <c r="E183" s="420"/>
      <c r="F183" s="420"/>
      <c r="G183" s="420"/>
      <c r="H183" s="420"/>
      <c r="I183" s="420"/>
    </row>
    <row r="184" spans="1:9" ht="12.75">
      <c r="A184" s="420"/>
      <c r="B184" s="420"/>
      <c r="C184" s="420"/>
      <c r="D184" s="420"/>
      <c r="E184" s="420"/>
      <c r="F184" s="420"/>
      <c r="G184" s="420"/>
      <c r="H184" s="421"/>
      <c r="I184" s="420"/>
    </row>
    <row r="185" spans="1:9" ht="12.75">
      <c r="A185" s="420"/>
      <c r="B185" s="420"/>
      <c r="C185" s="420"/>
      <c r="D185" s="420"/>
      <c r="E185" s="420"/>
      <c r="F185" s="420"/>
      <c r="G185" s="420"/>
      <c r="H185" s="420"/>
      <c r="I185" s="420"/>
    </row>
    <row r="186" spans="1:9" ht="12.75">
      <c r="A186" s="420"/>
      <c r="B186" s="420"/>
      <c r="C186" s="420"/>
      <c r="D186" s="420"/>
      <c r="E186" s="420"/>
      <c r="F186" s="420"/>
      <c r="G186" s="420"/>
      <c r="H186" s="420"/>
      <c r="I186" s="420"/>
    </row>
    <row r="187" spans="1:9" ht="12.75">
      <c r="A187" s="420"/>
      <c r="B187" s="420"/>
      <c r="C187" s="420"/>
      <c r="D187" s="420"/>
      <c r="E187" s="420"/>
      <c r="F187" s="420"/>
      <c r="G187" s="420"/>
      <c r="H187" s="420"/>
      <c r="I187" s="420"/>
    </row>
    <row r="188" spans="1:9" ht="12.75">
      <c r="A188" s="420"/>
      <c r="B188" s="420"/>
      <c r="C188" s="420"/>
      <c r="D188" s="420"/>
      <c r="E188" s="420"/>
      <c r="F188" s="420"/>
      <c r="G188" s="420"/>
      <c r="H188" s="420"/>
      <c r="I188" s="420"/>
    </row>
    <row r="189" spans="1:9" ht="12.75">
      <c r="A189" s="420"/>
      <c r="B189" s="420"/>
      <c r="C189" s="420"/>
      <c r="D189" s="420"/>
      <c r="E189" s="420"/>
      <c r="F189" s="420"/>
      <c r="G189" s="420"/>
      <c r="H189" s="420"/>
      <c r="I189" s="420"/>
    </row>
    <row r="190" spans="1:9" ht="12.75">
      <c r="A190" s="420"/>
      <c r="B190" s="420"/>
      <c r="C190" s="420"/>
      <c r="D190" s="420"/>
      <c r="E190" s="420"/>
      <c r="F190" s="420"/>
      <c r="G190" s="420"/>
      <c r="H190" s="420"/>
      <c r="I190" s="420"/>
    </row>
    <row r="191" spans="1:9" ht="12.75">
      <c r="A191" s="420"/>
      <c r="B191" s="420"/>
      <c r="C191" s="420"/>
      <c r="D191" s="420"/>
      <c r="E191" s="420"/>
      <c r="F191" s="420"/>
      <c r="G191" s="420"/>
      <c r="H191" s="420"/>
      <c r="I191" s="420"/>
    </row>
    <row r="192" spans="1:9" ht="12.75">
      <c r="A192" s="420"/>
      <c r="B192" s="420"/>
      <c r="C192" s="420"/>
      <c r="D192" s="420"/>
      <c r="E192" s="420"/>
      <c r="F192" s="420"/>
      <c r="G192" s="420"/>
      <c r="H192" s="420"/>
      <c r="I192" s="420"/>
    </row>
    <row r="193" spans="1:9" ht="12.75">
      <c r="A193" s="420"/>
      <c r="B193" s="420"/>
      <c r="C193" s="420"/>
      <c r="D193" s="420"/>
      <c r="E193" s="420"/>
      <c r="F193" s="420"/>
      <c r="G193" s="420"/>
      <c r="H193" s="420"/>
      <c r="I193" s="420"/>
    </row>
    <row r="194" spans="1:9" ht="12.75">
      <c r="A194" s="420"/>
      <c r="B194" s="420"/>
      <c r="C194" s="420"/>
      <c r="D194" s="420"/>
      <c r="E194" s="420"/>
      <c r="F194" s="420"/>
      <c r="G194" s="420"/>
      <c r="H194" s="420"/>
      <c r="I194" s="420"/>
    </row>
    <row r="195" spans="1:9" ht="12.75">
      <c r="A195" s="420"/>
      <c r="B195" s="420"/>
      <c r="C195" s="420"/>
      <c r="D195" s="420"/>
      <c r="E195" s="420"/>
      <c r="F195" s="420"/>
      <c r="G195" s="420"/>
      <c r="H195" s="420"/>
      <c r="I195" s="420"/>
    </row>
    <row r="196" spans="1:9" ht="12.75">
      <c r="A196" s="420"/>
      <c r="B196" s="420"/>
      <c r="C196" s="420"/>
      <c r="D196" s="420"/>
      <c r="E196" s="420"/>
      <c r="F196" s="420"/>
      <c r="G196" s="420"/>
      <c r="H196" s="420"/>
      <c r="I196" s="420"/>
    </row>
    <row r="197" spans="1:9" ht="12.75">
      <c r="A197" s="420"/>
      <c r="B197" s="420"/>
      <c r="C197" s="420"/>
      <c r="D197" s="420"/>
      <c r="E197" s="420"/>
      <c r="F197" s="420"/>
      <c r="G197" s="420"/>
      <c r="H197" s="420"/>
      <c r="I197" s="420"/>
    </row>
    <row r="198" spans="1:9" ht="12.75">
      <c r="A198" s="420"/>
      <c r="B198" s="420"/>
      <c r="C198" s="420"/>
      <c r="D198" s="420"/>
      <c r="E198" s="420"/>
      <c r="F198" s="420"/>
      <c r="G198" s="420"/>
      <c r="H198" s="420"/>
      <c r="I198" s="420"/>
    </row>
    <row r="199" spans="1:9" ht="12.75">
      <c r="A199" s="420"/>
      <c r="B199" s="420"/>
      <c r="C199" s="420"/>
      <c r="D199" s="420"/>
      <c r="E199" s="420"/>
      <c r="F199" s="420"/>
      <c r="G199" s="420"/>
      <c r="H199" s="420"/>
      <c r="I199" s="420"/>
    </row>
    <row r="200" spans="1:9" ht="12.75">
      <c r="A200" s="420"/>
      <c r="B200" s="420"/>
      <c r="C200" s="420"/>
      <c r="D200" s="420"/>
      <c r="E200" s="420"/>
      <c r="F200" s="420"/>
      <c r="G200" s="420"/>
      <c r="H200" s="420"/>
      <c r="I200" s="420"/>
    </row>
    <row r="201" spans="1:9" ht="12.75">
      <c r="A201" s="420"/>
      <c r="B201" s="420"/>
      <c r="C201" s="420"/>
      <c r="D201" s="420"/>
      <c r="E201" s="420"/>
      <c r="F201" s="420"/>
      <c r="G201" s="420"/>
      <c r="H201" s="420"/>
      <c r="I201" s="420"/>
    </row>
    <row r="202" spans="1:9" ht="12.75">
      <c r="A202" s="420"/>
      <c r="B202" s="420"/>
      <c r="C202" s="420"/>
      <c r="D202" s="420"/>
      <c r="E202" s="420"/>
      <c r="F202" s="420"/>
      <c r="G202" s="420"/>
      <c r="H202" s="420"/>
      <c r="I202" s="420"/>
    </row>
    <row r="203" spans="1:9" ht="12.75">
      <c r="A203" s="420"/>
      <c r="B203" s="420"/>
      <c r="C203" s="420"/>
      <c r="D203" s="420"/>
      <c r="E203" s="420"/>
      <c r="F203" s="420"/>
      <c r="G203" s="420"/>
      <c r="H203" s="420"/>
      <c r="I203" s="420"/>
    </row>
    <row r="204" spans="1:9" ht="12.75">
      <c r="A204" s="420"/>
      <c r="B204" s="420"/>
      <c r="C204" s="420"/>
      <c r="D204" s="420"/>
      <c r="E204" s="420"/>
      <c r="F204" s="420"/>
      <c r="G204" s="420"/>
      <c r="H204" s="420"/>
      <c r="I204" s="420"/>
    </row>
    <row r="205" spans="1:9" ht="12.75">
      <c r="A205" s="420"/>
      <c r="B205" s="420"/>
      <c r="C205" s="420"/>
      <c r="D205" s="420"/>
      <c r="E205" s="420"/>
      <c r="F205" s="420"/>
      <c r="G205" s="420"/>
      <c r="H205" s="420"/>
      <c r="I205" s="420"/>
    </row>
    <row r="206" spans="1:9" ht="12.75">
      <c r="A206" s="420"/>
      <c r="B206" s="420"/>
      <c r="C206" s="420"/>
      <c r="D206" s="420"/>
      <c r="E206" s="420"/>
      <c r="F206" s="420"/>
      <c r="G206" s="420"/>
      <c r="H206" s="420"/>
      <c r="I206" s="420"/>
    </row>
    <row r="207" spans="1:9" ht="12.75">
      <c r="A207" s="420"/>
      <c r="B207" s="420"/>
      <c r="C207" s="420"/>
      <c r="D207" s="420"/>
      <c r="E207" s="420"/>
      <c r="F207" s="420"/>
      <c r="G207" s="420"/>
      <c r="H207" s="420"/>
      <c r="I207" s="420"/>
    </row>
    <row r="208" spans="1:9" ht="12.75">
      <c r="A208" s="420"/>
      <c r="B208" s="420"/>
      <c r="C208" s="420"/>
      <c r="D208" s="420"/>
      <c r="E208" s="420"/>
      <c r="F208" s="420"/>
      <c r="G208" s="420"/>
      <c r="H208" s="420"/>
      <c r="I208" s="420"/>
    </row>
    <row r="209" spans="1:9" ht="12.75">
      <c r="A209" s="420"/>
      <c r="B209" s="420"/>
      <c r="C209" s="420"/>
      <c r="D209" s="420"/>
      <c r="E209" s="420"/>
      <c r="F209" s="420"/>
      <c r="G209" s="420"/>
      <c r="H209" s="420"/>
      <c r="I209" s="420"/>
    </row>
    <row r="210" spans="1:9" ht="12.75">
      <c r="A210" s="420"/>
      <c r="B210" s="420"/>
      <c r="C210" s="420"/>
      <c r="D210" s="420"/>
      <c r="E210" s="420"/>
      <c r="F210" s="420"/>
      <c r="G210" s="420"/>
      <c r="H210" s="420"/>
      <c r="I210" s="420"/>
    </row>
    <row r="211" spans="1:9" ht="12.75">
      <c r="A211" s="420"/>
      <c r="B211" s="420"/>
      <c r="C211" s="420"/>
      <c r="D211" s="420"/>
      <c r="E211" s="420"/>
      <c r="F211" s="420"/>
      <c r="G211" s="420"/>
      <c r="H211" s="420"/>
      <c r="I211" s="420"/>
    </row>
    <row r="212" spans="1:9" ht="12.75">
      <c r="A212" s="420"/>
      <c r="B212" s="420"/>
      <c r="C212" s="420"/>
      <c r="D212" s="420"/>
      <c r="E212" s="420"/>
      <c r="F212" s="420"/>
      <c r="G212" s="420"/>
      <c r="H212" s="420"/>
      <c r="I212" s="420"/>
    </row>
    <row r="213" spans="1:9" ht="12.75">
      <c r="A213" s="420"/>
      <c r="B213" s="420"/>
      <c r="C213" s="420"/>
      <c r="D213" s="420"/>
      <c r="E213" s="420"/>
      <c r="F213" s="420"/>
      <c r="G213" s="420"/>
      <c r="H213" s="420"/>
      <c r="I213" s="420"/>
    </row>
    <row r="214" spans="1:9" ht="12.75">
      <c r="A214" s="420"/>
      <c r="B214" s="420"/>
      <c r="C214" s="420"/>
      <c r="D214" s="420"/>
      <c r="E214" s="420"/>
      <c r="F214" s="420"/>
      <c r="G214" s="420"/>
      <c r="H214" s="420"/>
      <c r="I214" s="420"/>
    </row>
    <row r="215" spans="1:9" ht="12.75">
      <c r="A215" s="420"/>
      <c r="B215" s="420"/>
      <c r="C215" s="420"/>
      <c r="D215" s="420"/>
      <c r="E215" s="420"/>
      <c r="F215" s="420"/>
      <c r="G215" s="420"/>
      <c r="H215" s="420"/>
      <c r="I215" s="420"/>
    </row>
    <row r="216" spans="1:9" ht="12.75">
      <c r="A216" s="420"/>
      <c r="B216" s="420"/>
      <c r="C216" s="420"/>
      <c r="D216" s="420"/>
      <c r="E216" s="420"/>
      <c r="F216" s="420"/>
      <c r="G216" s="420"/>
      <c r="H216" s="420"/>
      <c r="I216" s="420"/>
    </row>
    <row r="217" spans="1:9" ht="12.75">
      <c r="A217" s="420"/>
      <c r="B217" s="420"/>
      <c r="C217" s="420"/>
      <c r="D217" s="420"/>
      <c r="E217" s="420"/>
      <c r="F217" s="420"/>
      <c r="G217" s="420"/>
      <c r="H217" s="420"/>
      <c r="I217" s="420"/>
    </row>
    <row r="218" spans="1:9" ht="12.75">
      <c r="A218" s="420"/>
      <c r="B218" s="420"/>
      <c r="C218" s="420"/>
      <c r="D218" s="420"/>
      <c r="E218" s="420"/>
      <c r="F218" s="420"/>
      <c r="G218" s="420"/>
      <c r="H218" s="420"/>
      <c r="I218" s="420"/>
    </row>
    <row r="219" spans="1:9" ht="12.75">
      <c r="A219" s="420"/>
      <c r="B219" s="420"/>
      <c r="C219" s="420"/>
      <c r="D219" s="420"/>
      <c r="E219" s="420"/>
      <c r="F219" s="420"/>
      <c r="G219" s="420"/>
      <c r="H219" s="420"/>
      <c r="I219" s="420"/>
    </row>
    <row r="220" spans="1:9" ht="12.75">
      <c r="A220" s="420"/>
      <c r="B220" s="420"/>
      <c r="C220" s="420"/>
      <c r="D220" s="420"/>
      <c r="E220" s="420"/>
      <c r="F220" s="420"/>
      <c r="G220" s="420"/>
      <c r="H220" s="420"/>
      <c r="I220" s="420"/>
    </row>
    <row r="221" spans="1:9" ht="12.75">
      <c r="A221" s="420"/>
      <c r="B221" s="420"/>
      <c r="C221" s="420"/>
      <c r="D221" s="420"/>
      <c r="E221" s="420"/>
      <c r="F221" s="420"/>
      <c r="G221" s="420"/>
      <c r="H221" s="420"/>
      <c r="I221" s="420"/>
    </row>
    <row r="222" spans="1:9" ht="12.75">
      <c r="A222" s="420"/>
      <c r="B222" s="420"/>
      <c r="C222" s="420"/>
      <c r="D222" s="420"/>
      <c r="E222" s="420"/>
      <c r="F222" s="420"/>
      <c r="G222" s="420"/>
      <c r="H222" s="420"/>
      <c r="I222" s="420"/>
    </row>
    <row r="223" spans="1:9" ht="12.75">
      <c r="A223" s="420"/>
      <c r="B223" s="420"/>
      <c r="C223" s="420"/>
      <c r="D223" s="420"/>
      <c r="E223" s="420"/>
      <c r="F223" s="420"/>
      <c r="G223" s="420"/>
      <c r="H223" s="420"/>
      <c r="I223" s="420"/>
    </row>
    <row r="224" spans="1:9" ht="12.75">
      <c r="A224" s="420"/>
      <c r="B224" s="420"/>
      <c r="C224" s="420"/>
      <c r="D224" s="420"/>
      <c r="E224" s="420"/>
      <c r="F224" s="420"/>
      <c r="G224" s="420"/>
      <c r="H224" s="420"/>
      <c r="I224" s="420"/>
    </row>
    <row r="225" spans="1:9" ht="12.75">
      <c r="A225" s="420"/>
      <c r="B225" s="420"/>
      <c r="C225" s="420"/>
      <c r="D225" s="420"/>
      <c r="E225" s="420"/>
      <c r="F225" s="420"/>
      <c r="G225" s="420"/>
      <c r="H225" s="420"/>
      <c r="I225" s="420"/>
    </row>
  </sheetData>
  <sheetProtection/>
  <mergeCells count="5">
    <mergeCell ref="A5:H5"/>
    <mergeCell ref="A1:H1"/>
    <mergeCell ref="A2:H2"/>
    <mergeCell ref="A3:H3"/>
    <mergeCell ref="A4:H4"/>
  </mergeCells>
  <printOptions horizontalCentered="1" verticalCentered="1"/>
  <pageMargins left="0.2362204724409449" right="0.2362204724409449" top="0.2755905511811024" bottom="0.7874015748031497" header="0.31496062992125984" footer="0"/>
  <pageSetup horizontalDpi="600" verticalDpi="600" orientation="portrait" scale="50" r:id="rId3"/>
  <rowBreaks count="1" manualBreakCount="1">
    <brk id="187"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2011-06-22T17:18:01Z</cp:lastPrinted>
  <dcterms:created xsi:type="dcterms:W3CDTF">2004-09-15T00:05:45Z</dcterms:created>
  <dcterms:modified xsi:type="dcterms:W3CDTF">2019-09-18T12:58:33Z</dcterms:modified>
  <cp:category/>
  <cp:version/>
  <cp:contentType/>
  <cp:contentStatus/>
</cp:coreProperties>
</file>